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rawford\Downloads\"/>
    </mc:Choice>
  </mc:AlternateContent>
  <xr:revisionPtr revIDLastSave="0" documentId="8_{1332C030-A331-4363-826A-C29E58F23E3A}" xr6:coauthVersionLast="47" xr6:coauthVersionMax="47" xr10:uidLastSave="{00000000-0000-0000-0000-000000000000}"/>
  <bookViews>
    <workbookView xWindow="-120" yWindow="-120" windowWidth="29040" windowHeight="15720" xr2:uid="{FEF590CA-9301-4DA6-943A-5DEB2395A9DF}"/>
  </bookViews>
  <sheets>
    <sheet name="All Undergraduate Students" sheetId="1" r:id="rId1"/>
    <sheet name="Female Undergraduate Students" sheetId="3" r:id="rId2"/>
    <sheet name="Male Undegraduate Students" sheetId="2" r:id="rId3"/>
    <sheet name="1st Generation Undergraduates" sheetId="4" r:id="rId4"/>
    <sheet name="Undegraduate Athletes" sheetId="5" r:id="rId5"/>
    <sheet name="Housing" sheetId="1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5" l="1"/>
  <c r="G14" i="15"/>
  <c r="K13" i="15"/>
  <c r="J13" i="15"/>
  <c r="N12" i="15"/>
  <c r="M12" i="15"/>
  <c r="D17" i="15"/>
  <c r="E16" i="15"/>
  <c r="F15" i="15"/>
  <c r="I14" i="15"/>
  <c r="L13" i="15"/>
  <c r="O12" i="15"/>
  <c r="H5" i="5"/>
  <c r="G5" i="5"/>
  <c r="K4" i="5"/>
  <c r="J4" i="5"/>
  <c r="N3" i="5"/>
  <c r="M3" i="5"/>
  <c r="D8" i="5"/>
  <c r="E7" i="5"/>
  <c r="F6" i="5"/>
  <c r="I5" i="5"/>
  <c r="L4" i="5"/>
  <c r="O3" i="5"/>
  <c r="H14" i="4"/>
  <c r="G14" i="4"/>
  <c r="K13" i="4"/>
  <c r="J13" i="4"/>
  <c r="N12" i="4"/>
  <c r="M12" i="4"/>
  <c r="L13" i="4"/>
  <c r="O12" i="4"/>
  <c r="D17" i="4"/>
  <c r="E16" i="4"/>
  <c r="F15" i="4"/>
  <c r="I14" i="4"/>
  <c r="H14" i="2"/>
  <c r="G14" i="2"/>
  <c r="K13" i="2"/>
  <c r="J13" i="2"/>
  <c r="N12" i="2"/>
  <c r="M12" i="2"/>
  <c r="D17" i="2"/>
  <c r="E16" i="2"/>
  <c r="F15" i="2"/>
  <c r="I14" i="2"/>
  <c r="L13" i="2"/>
  <c r="H14" i="3"/>
  <c r="G14" i="3"/>
  <c r="K13" i="3"/>
  <c r="J13" i="3"/>
  <c r="N12" i="3"/>
  <c r="M12" i="3"/>
  <c r="D17" i="3"/>
  <c r="E16" i="3"/>
  <c r="F15" i="3"/>
  <c r="I14" i="3"/>
  <c r="L13" i="3"/>
  <c r="O12" i="3"/>
  <c r="I14" i="1"/>
  <c r="L13" i="1"/>
  <c r="O12" i="1"/>
  <c r="H14" i="1"/>
  <c r="K13" i="1"/>
  <c r="N12" i="1"/>
  <c r="E17" i="1"/>
  <c r="F16" i="1"/>
  <c r="G15" i="1"/>
  <c r="J14" i="1"/>
  <c r="M13" i="1"/>
  <c r="P12" i="1"/>
  <c r="I13" i="1" l="1"/>
  <c r="H13" i="1"/>
  <c r="L12" i="1"/>
  <c r="K12" i="1"/>
  <c r="O11" i="1"/>
  <c r="N11" i="1"/>
  <c r="H13" i="3"/>
  <c r="G13" i="3"/>
  <c r="K12" i="3"/>
  <c r="J12" i="3"/>
  <c r="N11" i="3"/>
  <c r="M11" i="3"/>
  <c r="H13" i="2"/>
  <c r="G13" i="2"/>
  <c r="K12" i="2"/>
  <c r="J12" i="2"/>
  <c r="N11" i="2"/>
  <c r="M11" i="2"/>
  <c r="H13" i="4"/>
  <c r="G13" i="4"/>
  <c r="K12" i="4"/>
  <c r="J12" i="4"/>
  <c r="N11" i="4"/>
  <c r="M11" i="4"/>
  <c r="H4" i="5"/>
  <c r="G4" i="5"/>
  <c r="K3" i="5"/>
  <c r="J3" i="5"/>
  <c r="N2" i="5"/>
  <c r="M2" i="5"/>
  <c r="H13" i="15"/>
  <c r="G13" i="15"/>
  <c r="K12" i="15"/>
  <c r="J12" i="15"/>
  <c r="N11" i="15"/>
  <c r="M11" i="15"/>
  <c r="O11" i="15"/>
  <c r="L12" i="15"/>
  <c r="I13" i="15"/>
  <c r="F14" i="15"/>
  <c r="E15" i="15"/>
  <c r="D16" i="15"/>
  <c r="O2" i="5"/>
  <c r="L3" i="5"/>
  <c r="I4" i="5"/>
  <c r="F5" i="5"/>
  <c r="E6" i="5"/>
  <c r="D7" i="5"/>
  <c r="O11" i="4"/>
  <c r="L12" i="4"/>
  <c r="I13" i="4"/>
  <c r="F14" i="4"/>
  <c r="E15" i="4"/>
  <c r="D16" i="4"/>
  <c r="D16" i="2"/>
  <c r="E15" i="2"/>
  <c r="F14" i="2"/>
  <c r="I13" i="2"/>
  <c r="L12" i="2"/>
  <c r="O11" i="2"/>
  <c r="D16" i="3"/>
  <c r="E15" i="3"/>
  <c r="F14" i="3"/>
  <c r="I13" i="3"/>
  <c r="L12" i="3"/>
  <c r="O11" i="3"/>
  <c r="L11" i="4"/>
  <c r="L10" i="4"/>
  <c r="I11" i="4"/>
  <c r="E16" i="1"/>
  <c r="F15" i="1"/>
  <c r="G14" i="1"/>
  <c r="J13" i="1"/>
  <c r="M12" i="1"/>
  <c r="P11" i="1"/>
  <c r="I11" i="15"/>
  <c r="O10" i="15"/>
  <c r="L10" i="15"/>
  <c r="L11" i="15"/>
  <c r="H12" i="15"/>
  <c r="G12" i="15"/>
  <c r="K11" i="15"/>
  <c r="J11" i="15"/>
  <c r="M10" i="15"/>
  <c r="N10" i="15"/>
  <c r="H12" i="4"/>
  <c r="G12" i="4"/>
  <c r="J11" i="4"/>
  <c r="K11" i="4"/>
  <c r="N10" i="4"/>
  <c r="M10" i="4"/>
  <c r="G12" i="2"/>
  <c r="H12" i="2"/>
  <c r="J11" i="2"/>
  <c r="K11" i="2"/>
  <c r="N10" i="2"/>
  <c r="M10" i="2"/>
  <c r="M10" i="3"/>
  <c r="N10" i="3"/>
  <c r="K11" i="3"/>
  <c r="J11" i="3"/>
  <c r="G12" i="3"/>
  <c r="H12" i="3"/>
  <c r="P10" i="1"/>
  <c r="D15" i="15"/>
  <c r="E14" i="15"/>
  <c r="F13" i="15"/>
  <c r="I12" i="15"/>
  <c r="O10" i="2"/>
  <c r="O10" i="3"/>
  <c r="D15" i="4"/>
  <c r="E14" i="4"/>
  <c r="F13" i="4"/>
  <c r="I12" i="4"/>
  <c r="O10" i="4"/>
  <c r="D15" i="2"/>
  <c r="E14" i="2"/>
  <c r="F13" i="2"/>
  <c r="I12" i="2"/>
  <c r="L11" i="2"/>
  <c r="L11" i="3"/>
  <c r="I12" i="3"/>
  <c r="F13" i="3"/>
  <c r="E14" i="3"/>
  <c r="D15" i="3"/>
  <c r="H11" i="15"/>
  <c r="G11" i="15"/>
  <c r="K10" i="15"/>
  <c r="J10" i="15"/>
  <c r="N9" i="15"/>
  <c r="M9" i="15"/>
  <c r="N9" i="4"/>
  <c r="M9" i="4"/>
  <c r="K10" i="4"/>
  <c r="J10" i="4"/>
  <c r="H11" i="4"/>
  <c r="G11" i="4"/>
  <c r="H11" i="2"/>
  <c r="G11" i="2"/>
  <c r="K10" i="2"/>
  <c r="J10" i="2"/>
  <c r="N9" i="2"/>
  <c r="M9" i="2"/>
  <c r="N9" i="3"/>
  <c r="M9" i="3"/>
  <c r="K10" i="3"/>
  <c r="J10" i="3"/>
  <c r="H11" i="3"/>
  <c r="G11" i="3"/>
  <c r="O9" i="15"/>
  <c r="F12" i="15"/>
  <c r="E13" i="15"/>
  <c r="D14" i="15"/>
  <c r="O9" i="4"/>
  <c r="F12" i="4"/>
  <c r="E13" i="4"/>
  <c r="D14" i="4"/>
  <c r="D14" i="3"/>
  <c r="O9" i="2"/>
  <c r="L10" i="2"/>
  <c r="I11" i="2"/>
  <c r="F12" i="2"/>
  <c r="E13" i="2"/>
  <c r="D14" i="2"/>
  <c r="O9" i="3"/>
  <c r="L10" i="3"/>
  <c r="I11" i="3"/>
  <c r="F12" i="3"/>
  <c r="E13" i="3"/>
  <c r="H10" i="4" l="1"/>
  <c r="G10" i="4"/>
  <c r="K9" i="4"/>
  <c r="J9" i="4"/>
  <c r="N8" i="4"/>
  <c r="M8" i="4"/>
  <c r="H10" i="15"/>
  <c r="G10" i="15"/>
  <c r="K9" i="15"/>
  <c r="J9" i="15"/>
  <c r="N8" i="15"/>
  <c r="M8" i="15"/>
  <c r="H10" i="2"/>
  <c r="G10" i="2"/>
  <c r="K9" i="2"/>
  <c r="J9" i="2"/>
  <c r="N8" i="2"/>
  <c r="M8" i="2"/>
  <c r="H10" i="3"/>
  <c r="G10" i="3"/>
  <c r="K9" i="3"/>
  <c r="J9" i="3"/>
  <c r="N8" i="3"/>
  <c r="M8" i="3"/>
  <c r="D10" i="15" l="1"/>
  <c r="E10" i="15"/>
  <c r="D11" i="15"/>
  <c r="E11" i="15"/>
  <c r="F10" i="15"/>
  <c r="D13" i="15"/>
  <c r="E12" i="15"/>
  <c r="F11" i="15"/>
  <c r="I10" i="15"/>
  <c r="L9" i="15"/>
  <c r="O8" i="15"/>
  <c r="D10" i="4"/>
  <c r="E10" i="4"/>
  <c r="D11" i="4"/>
  <c r="E11" i="4"/>
  <c r="F10" i="4"/>
  <c r="D13" i="4"/>
  <c r="E12" i="4"/>
  <c r="F11" i="4"/>
  <c r="I10" i="4"/>
  <c r="L9" i="4"/>
  <c r="O8" i="4"/>
  <c r="D13" i="2"/>
  <c r="E12" i="2"/>
  <c r="D11" i="2"/>
  <c r="E11" i="2"/>
  <c r="F11" i="2"/>
  <c r="I10" i="2"/>
  <c r="F10" i="2"/>
  <c r="E10" i="2"/>
  <c r="D10" i="2"/>
  <c r="D13" i="3"/>
  <c r="D12" i="3"/>
  <c r="E12" i="3"/>
  <c r="F11" i="3"/>
  <c r="E11" i="3"/>
  <c r="D11" i="3"/>
  <c r="I10" i="3"/>
  <c r="F10" i="3"/>
  <c r="E10" i="3"/>
  <c r="D10" i="3"/>
  <c r="L9" i="3"/>
  <c r="L9" i="2"/>
  <c r="O8" i="2"/>
  <c r="O8" i="3"/>
  <c r="H9" i="3" l="1"/>
  <c r="G9" i="3"/>
  <c r="H9" i="2"/>
  <c r="G9" i="2"/>
  <c r="H9" i="4"/>
  <c r="G9" i="4"/>
  <c r="K8" i="4"/>
  <c r="H8" i="4"/>
  <c r="J8" i="4"/>
  <c r="G8" i="4"/>
  <c r="K8" i="2"/>
  <c r="H8" i="2"/>
  <c r="J8" i="2"/>
  <c r="G8" i="2"/>
  <c r="K8" i="3"/>
  <c r="H8" i="3"/>
  <c r="J8" i="3"/>
  <c r="G8" i="3"/>
  <c r="N7" i="3"/>
  <c r="K7" i="3"/>
  <c r="H7" i="3"/>
  <c r="M7" i="3"/>
  <c r="J7" i="3"/>
  <c r="G7" i="3"/>
  <c r="N7" i="2"/>
  <c r="K7" i="2"/>
  <c r="H7" i="2"/>
  <c r="M7" i="2"/>
  <c r="J7" i="2"/>
  <c r="G7" i="2"/>
  <c r="N7" i="4"/>
  <c r="K7" i="4"/>
  <c r="H7" i="4"/>
  <c r="M7" i="4"/>
  <c r="J7" i="4"/>
  <c r="G7" i="4"/>
  <c r="N6" i="4" l="1"/>
  <c r="K6" i="4"/>
  <c r="H6" i="4"/>
  <c r="M6" i="4"/>
  <c r="J6" i="4"/>
  <c r="G6" i="4"/>
  <c r="N6" i="2"/>
  <c r="K6" i="2"/>
  <c r="H6" i="2"/>
  <c r="M6" i="2"/>
  <c r="J6" i="2"/>
  <c r="G6" i="2"/>
  <c r="N6" i="3"/>
  <c r="K6" i="3"/>
  <c r="H6" i="3"/>
  <c r="M6" i="3"/>
  <c r="J6" i="3"/>
  <c r="G6" i="3"/>
  <c r="N5" i="3"/>
  <c r="K5" i="3"/>
  <c r="H5" i="3"/>
  <c r="M5" i="3"/>
  <c r="J5" i="3"/>
  <c r="G5" i="3"/>
  <c r="N5" i="2"/>
  <c r="K5" i="2"/>
  <c r="H5" i="2"/>
  <c r="M5" i="2"/>
  <c r="J5" i="2"/>
  <c r="G5" i="2"/>
  <c r="N5" i="4"/>
  <c r="K5" i="4"/>
  <c r="H5" i="4"/>
  <c r="M5" i="4"/>
  <c r="J5" i="4"/>
  <c r="G5" i="4"/>
  <c r="N4" i="4"/>
  <c r="K4" i="4"/>
  <c r="H4" i="4"/>
  <c r="M4" i="4"/>
  <c r="J4" i="4"/>
  <c r="G4" i="4"/>
  <c r="N4" i="2"/>
  <c r="K4" i="2"/>
  <c r="H4" i="2"/>
  <c r="M4" i="2"/>
  <c r="J4" i="2"/>
  <c r="G4" i="2"/>
  <c r="N4" i="3"/>
  <c r="K4" i="3"/>
  <c r="H4" i="3"/>
  <c r="M4" i="3"/>
  <c r="J4" i="3"/>
  <c r="G4" i="3"/>
  <c r="N3" i="3"/>
  <c r="K3" i="3"/>
  <c r="H3" i="3"/>
  <c r="M3" i="3"/>
  <c r="J3" i="3"/>
  <c r="G3" i="3"/>
  <c r="N3" i="2"/>
  <c r="K3" i="2"/>
  <c r="H3" i="2"/>
  <c r="M3" i="2"/>
  <c r="J3" i="2"/>
  <c r="G3" i="2"/>
  <c r="N3" i="4"/>
  <c r="K3" i="4"/>
  <c r="H3" i="4"/>
  <c r="M3" i="4"/>
  <c r="J3" i="4"/>
  <c r="G3" i="4"/>
  <c r="N2" i="3"/>
  <c r="K2" i="3"/>
  <c r="H2" i="3"/>
  <c r="M2" i="3"/>
  <c r="J2" i="3"/>
  <c r="G2" i="3"/>
  <c r="N2" i="2"/>
  <c r="K2" i="2"/>
  <c r="H2" i="2"/>
  <c r="M2" i="2"/>
  <c r="J2" i="2"/>
  <c r="G2" i="2"/>
  <c r="N2" i="4"/>
  <c r="K2" i="4"/>
  <c r="H2" i="4"/>
  <c r="M2" i="4"/>
  <c r="J2" i="4"/>
  <c r="G2" i="4"/>
  <c r="N2" i="15"/>
  <c r="K2" i="15"/>
  <c r="H2" i="15"/>
  <c r="M2" i="15"/>
  <c r="J2" i="15"/>
  <c r="G2" i="15"/>
  <c r="N3" i="15"/>
  <c r="K3" i="15"/>
  <c r="H3" i="15"/>
  <c r="M3" i="15"/>
  <c r="J3" i="15"/>
  <c r="G3" i="15"/>
  <c r="N4" i="15"/>
  <c r="K4" i="15"/>
  <c r="H4" i="15"/>
  <c r="M4" i="15"/>
  <c r="J4" i="15"/>
  <c r="G4" i="15"/>
  <c r="N5" i="15"/>
  <c r="K5" i="15"/>
  <c r="H5" i="15"/>
  <c r="M5" i="15"/>
  <c r="J5" i="15"/>
  <c r="G5" i="15"/>
  <c r="N6" i="15"/>
  <c r="K6" i="15"/>
  <c r="H6" i="15"/>
  <c r="M6" i="15"/>
  <c r="J6" i="15"/>
  <c r="G6" i="15"/>
  <c r="N7" i="15"/>
  <c r="M7" i="15"/>
  <c r="K7" i="15"/>
  <c r="J7" i="15"/>
  <c r="H7" i="15"/>
  <c r="G7" i="15"/>
  <c r="J8" i="15"/>
  <c r="H8" i="15"/>
  <c r="K8" i="15"/>
  <c r="G8" i="15"/>
  <c r="H9" i="15"/>
  <c r="G9" i="15"/>
  <c r="D12" i="2"/>
  <c r="I9" i="2"/>
  <c r="F9" i="2"/>
  <c r="E9" i="2"/>
  <c r="D9" i="2"/>
  <c r="I9" i="3"/>
  <c r="F9" i="3"/>
  <c r="E9" i="3"/>
  <c r="D9" i="3"/>
  <c r="L8" i="3"/>
  <c r="I8" i="3"/>
  <c r="F8" i="3"/>
  <c r="E8" i="3"/>
  <c r="D8" i="3"/>
  <c r="L8" i="2"/>
  <c r="I8" i="2"/>
  <c r="F8" i="2"/>
  <c r="E8" i="2"/>
  <c r="D8" i="2"/>
  <c r="O7" i="2"/>
  <c r="L7" i="2"/>
  <c r="I7" i="2"/>
  <c r="F7" i="2"/>
  <c r="E7" i="2"/>
  <c r="D7" i="2"/>
  <c r="O7" i="3"/>
  <c r="L7" i="3"/>
  <c r="I7" i="3"/>
  <c r="F7" i="3"/>
  <c r="E7" i="3"/>
  <c r="D7" i="3"/>
  <c r="O6" i="3"/>
  <c r="L6" i="3"/>
  <c r="I6" i="3"/>
  <c r="F6" i="3"/>
  <c r="E6" i="3"/>
  <c r="D6" i="3"/>
  <c r="O6" i="2"/>
  <c r="L6" i="2"/>
  <c r="I6" i="2"/>
  <c r="F6" i="2"/>
  <c r="E6" i="2"/>
  <c r="D6" i="2"/>
  <c r="I5" i="2"/>
  <c r="O5" i="2"/>
  <c r="L5" i="2"/>
  <c r="F5" i="2"/>
  <c r="E5" i="2"/>
  <c r="D5" i="2"/>
  <c r="O5" i="3"/>
  <c r="L5" i="3"/>
  <c r="I5" i="3"/>
  <c r="F5" i="3"/>
  <c r="E5" i="3"/>
  <c r="D5" i="3"/>
  <c r="I3" i="2"/>
  <c r="F3" i="2"/>
  <c r="E3" i="2"/>
  <c r="D3" i="2"/>
  <c r="O2" i="2"/>
  <c r="L2" i="2"/>
  <c r="I2" i="2"/>
  <c r="F2" i="2"/>
  <c r="E2" i="2"/>
  <c r="D2" i="2"/>
  <c r="D12" i="4"/>
  <c r="I9" i="4"/>
  <c r="F9" i="4"/>
  <c r="E9" i="4"/>
  <c r="D9" i="4"/>
  <c r="L8" i="4"/>
  <c r="I8" i="4"/>
  <c r="F8" i="4"/>
  <c r="E8" i="4"/>
  <c r="D8" i="4"/>
  <c r="O7" i="4"/>
  <c r="L7" i="4"/>
  <c r="I7" i="4"/>
  <c r="F7" i="4"/>
  <c r="E7" i="4"/>
  <c r="D7" i="4"/>
  <c r="O6" i="4"/>
  <c r="L6" i="4"/>
  <c r="I6" i="4"/>
  <c r="F6" i="4"/>
  <c r="E6" i="4"/>
  <c r="D6" i="4"/>
  <c r="O5" i="4"/>
  <c r="L5" i="4"/>
  <c r="I5" i="4"/>
  <c r="F5" i="4"/>
  <c r="E5" i="4"/>
  <c r="D5" i="4"/>
  <c r="O4" i="4"/>
  <c r="L4" i="4"/>
  <c r="I4" i="4"/>
  <c r="F4" i="4"/>
  <c r="E4" i="4"/>
  <c r="D4" i="4"/>
  <c r="O3" i="4"/>
  <c r="L3" i="4"/>
  <c r="I3" i="4"/>
  <c r="F3" i="4"/>
  <c r="E3" i="4"/>
  <c r="D3" i="4"/>
  <c r="O2" i="4"/>
  <c r="L2" i="4"/>
  <c r="I2" i="4"/>
  <c r="F2" i="4"/>
  <c r="E2" i="4"/>
  <c r="D2" i="4"/>
  <c r="O7" i="15"/>
  <c r="L7" i="15"/>
  <c r="E7" i="15"/>
  <c r="F7" i="15"/>
  <c r="I7" i="15"/>
  <c r="D7" i="15"/>
  <c r="D12" i="15"/>
  <c r="I9" i="15"/>
  <c r="F9" i="15"/>
  <c r="E9" i="15"/>
  <c r="D9" i="15"/>
  <c r="L8" i="15"/>
  <c r="I8" i="15"/>
  <c r="F8" i="15"/>
  <c r="E8" i="15"/>
  <c r="D8" i="15"/>
  <c r="O6" i="15"/>
  <c r="L6" i="15"/>
  <c r="I6" i="15"/>
  <c r="F6" i="15"/>
  <c r="E6" i="15"/>
  <c r="D6" i="15"/>
  <c r="E4" i="2"/>
  <c r="D4" i="2"/>
  <c r="O5" i="15"/>
  <c r="L5" i="15"/>
  <c r="I5" i="15"/>
  <c r="F5" i="15"/>
  <c r="E5" i="15"/>
  <c r="D5" i="15"/>
  <c r="O4" i="3"/>
  <c r="L4" i="3"/>
  <c r="I4" i="3"/>
  <c r="F4" i="3"/>
  <c r="E4" i="3"/>
  <c r="D4" i="3"/>
  <c r="O4" i="2"/>
  <c r="L4" i="2"/>
  <c r="I4" i="2"/>
  <c r="F4" i="2"/>
  <c r="O4" i="15"/>
  <c r="L4" i="15"/>
  <c r="O3" i="3"/>
  <c r="O3" i="2"/>
  <c r="O3" i="15"/>
  <c r="I4" i="15"/>
  <c r="F4" i="15"/>
  <c r="E4" i="15"/>
  <c r="D4" i="15"/>
  <c r="L3" i="3"/>
  <c r="I3" i="3"/>
  <c r="F3" i="3"/>
  <c r="E3" i="3"/>
  <c r="D3" i="3"/>
  <c r="L3" i="2"/>
  <c r="L3" i="15"/>
  <c r="I3" i="15"/>
  <c r="F3" i="15"/>
  <c r="E3" i="15"/>
  <c r="D3" i="15"/>
  <c r="O2" i="3" l="1"/>
  <c r="L2" i="3"/>
  <c r="I2" i="3"/>
  <c r="F2" i="3"/>
  <c r="E2" i="3"/>
  <c r="D2" i="3"/>
  <c r="O2" i="15"/>
  <c r="L2" i="15"/>
  <c r="I2" i="15"/>
  <c r="F2" i="15"/>
  <c r="E2" i="15"/>
  <c r="D2" i="15"/>
  <c r="A3" i="15" l="1"/>
  <c r="A4" i="15" s="1"/>
  <c r="A5" i="15" s="1"/>
  <c r="A6" i="15" s="1"/>
  <c r="A7" i="15" s="1"/>
  <c r="A8" i="15" s="1"/>
  <c r="A9" i="15" s="1"/>
  <c r="A10" i="15" s="1"/>
  <c r="A11" i="15" s="1"/>
  <c r="A12" i="15" s="1"/>
  <c r="A3" i="3" l="1"/>
  <c r="A4" i="3" s="1"/>
  <c r="A5" i="3" s="1"/>
  <c r="A6" i="3" s="1"/>
  <c r="A7" i="3" s="1"/>
  <c r="A8" i="3" s="1"/>
  <c r="A9" i="3" s="1"/>
  <c r="A10" i="3" s="1"/>
  <c r="A11" i="3" s="1"/>
  <c r="A12" i="3" s="1"/>
  <c r="A3" i="4"/>
  <c r="A4" i="4" s="1"/>
  <c r="A5" i="4" s="1"/>
  <c r="A6" i="4" s="1"/>
  <c r="A7" i="4" s="1"/>
  <c r="A8" i="4" s="1"/>
  <c r="A9" i="4" s="1"/>
  <c r="A10" i="4" s="1"/>
  <c r="A11" i="4" s="1"/>
  <c r="A12" i="4" s="1"/>
  <c r="A3" i="2"/>
  <c r="A4" i="2" s="1"/>
  <c r="A5" i="2" s="1"/>
  <c r="A6" i="2" s="1"/>
  <c r="A7" i="2" s="1"/>
  <c r="A8" i="2" s="1"/>
  <c r="A9" i="2" s="1"/>
  <c r="A10" i="2" s="1"/>
  <c r="A11" i="2" s="1"/>
  <c r="A12" i="2" s="1"/>
</calcChain>
</file>

<file path=xl/sharedStrings.xml><?xml version="1.0" encoding="utf-8"?>
<sst xmlns="http://schemas.openxmlformats.org/spreadsheetml/2006/main" count="92" uniqueCount="17">
  <si>
    <t>Freshman Cohort</t>
  </si>
  <si>
    <t>Retention 
1 Year</t>
  </si>
  <si>
    <t>Retention 
2 Years</t>
  </si>
  <si>
    <t>Retention 
3 Years</t>
  </si>
  <si>
    <t>Retention
4 Years</t>
  </si>
  <si>
    <t>Retention
5 Years</t>
  </si>
  <si>
    <t>Retention
6 Years</t>
  </si>
  <si>
    <t>Graduated
in 4 Years with Associates</t>
  </si>
  <si>
    <t>Graduated
in 4 Years with  Bachelors</t>
  </si>
  <si>
    <t>Graduated in 6 Years with Associates</t>
  </si>
  <si>
    <t>Graduated
in 6 Years with  Bachelors</t>
  </si>
  <si>
    <t xml:space="preserve">Graduated in 5 Years with Associates </t>
  </si>
  <si>
    <t>Graduated 
in 5 Years with Bachelors</t>
  </si>
  <si>
    <t xml:space="preserve">Retention: First-time, bachelor's seeking
 Freshmen </t>
  </si>
  <si>
    <t>Completion:  First-time, full-time, degree/certificate seeking Freshmen</t>
  </si>
  <si>
    <t>All First-Time Freshmen Count</t>
  </si>
  <si>
    <t>*No data included prior to 2019*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</si>
</sst>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 wrapText="1"/>
    </xf>
    <xf numFmtId="10" fontId="0" fillId="0" borderId="0" xfId="0" applyNumberFormat="1"/>
  </cellXfs>
  <cellStyles count="3">
    <cellStyle name="Normal" xfId="0" builtinId="0"/>
    <cellStyle name="Normal 2" xfId="2" xr:uid="{00000000-0005-0000-0000-00002F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B01C-0FAF-4100-A461-961F3CE2A089}">
  <dimension ref="A1:P18"/>
  <sheetViews>
    <sheetView tabSelected="1" workbookViewId="0"/>
  </sheetViews>
  <sheetFormatPr defaultRowHeight="15" x14ac:dyDescent="0.25"/>
  <cols>
    <col min="1" max="2" width="17.7109375" style="2" customWidth="1"/>
    <col min="3" max="3" width="15.5703125" style="2" bestFit="1" customWidth="1"/>
    <col min="4" max="4" width="17.42578125" style="2" bestFit="1" customWidth="1"/>
    <col min="5" max="5" width="9.5703125" style="10" customWidth="1"/>
    <col min="6" max="6" width="10.5703125" style="10" customWidth="1"/>
    <col min="7" max="7" width="9.7109375" style="10" customWidth="1"/>
    <col min="8" max="8" width="13.7109375" style="10" customWidth="1"/>
    <col min="9" max="9" width="13.5703125" style="10" customWidth="1"/>
    <col min="10" max="10" width="9.5703125" style="10" customWidth="1"/>
    <col min="11" max="12" width="13.42578125" style="10" customWidth="1"/>
    <col min="13" max="13" width="9.85546875" style="10" customWidth="1"/>
    <col min="14" max="14" width="12.85546875" style="10" customWidth="1"/>
    <col min="15" max="15" width="14" style="10" customWidth="1"/>
    <col min="16" max="16" width="10.28515625" style="10" customWidth="1"/>
  </cols>
  <sheetData>
    <row r="1" spans="1:16" ht="72" customHeight="1" x14ac:dyDescent="0.25">
      <c r="A1" s="2" t="s">
        <v>0</v>
      </c>
      <c r="B1" s="4" t="s">
        <v>15</v>
      </c>
      <c r="C1" s="4" t="s">
        <v>13</v>
      </c>
      <c r="D1" s="4" t="s">
        <v>14</v>
      </c>
      <c r="E1" s="12" t="s">
        <v>1</v>
      </c>
      <c r="F1" s="12" t="s">
        <v>2</v>
      </c>
      <c r="G1" s="12" t="s">
        <v>3</v>
      </c>
      <c r="H1" s="12" t="s">
        <v>7</v>
      </c>
      <c r="I1" s="12" t="s">
        <v>8</v>
      </c>
      <c r="J1" s="12" t="s">
        <v>4</v>
      </c>
      <c r="K1" s="12" t="s">
        <v>11</v>
      </c>
      <c r="L1" s="12" t="s">
        <v>12</v>
      </c>
      <c r="M1" s="12" t="s">
        <v>5</v>
      </c>
      <c r="N1" s="12" t="s">
        <v>9</v>
      </c>
      <c r="O1" s="12" t="s">
        <v>10</v>
      </c>
      <c r="P1" s="12" t="s">
        <v>6</v>
      </c>
    </row>
    <row r="2" spans="1:16" x14ac:dyDescent="0.25">
      <c r="A2" s="11">
        <v>2010</v>
      </c>
      <c r="B2" s="11">
        <v>1066</v>
      </c>
      <c r="C2" s="11">
        <v>452</v>
      </c>
      <c r="D2" s="11">
        <v>452</v>
      </c>
      <c r="E2" s="10">
        <v>0.54900000000000004</v>
      </c>
      <c r="F2" s="10">
        <v>0.378</v>
      </c>
      <c r="G2" s="10">
        <v>0.29199999999999998</v>
      </c>
      <c r="H2" s="10">
        <v>0.02</v>
      </c>
      <c r="I2" s="10">
        <v>0.115</v>
      </c>
      <c r="J2" s="10">
        <v>0.19500000000000001</v>
      </c>
      <c r="K2" s="10">
        <v>2.4E-2</v>
      </c>
      <c r="L2" s="10">
        <v>0.17699999999999999</v>
      </c>
      <c r="M2" s="10">
        <v>8.7999999999999995E-2</v>
      </c>
      <c r="N2" s="10">
        <v>2.7E-2</v>
      </c>
      <c r="O2" s="10">
        <v>0.20799999999999999</v>
      </c>
      <c r="P2" s="10">
        <v>2.9000000000000001E-2</v>
      </c>
    </row>
    <row r="3" spans="1:16" x14ac:dyDescent="0.25">
      <c r="A3" s="11">
        <v>2011</v>
      </c>
      <c r="B3" s="11">
        <v>1079</v>
      </c>
      <c r="C3" s="11">
        <v>527</v>
      </c>
      <c r="D3" s="11">
        <v>475</v>
      </c>
      <c r="E3" s="10">
        <v>0.48799999999999999</v>
      </c>
      <c r="F3" s="10">
        <v>0.34200000000000003</v>
      </c>
      <c r="G3" s="10">
        <v>0.27100000000000002</v>
      </c>
      <c r="H3" s="10">
        <v>3.7999999999999999E-2</v>
      </c>
      <c r="I3" s="10">
        <v>0.17100000000000001</v>
      </c>
      <c r="J3" s="10">
        <v>0.13900000000000001</v>
      </c>
      <c r="K3" s="10">
        <v>4.2000000000000003E-2</v>
      </c>
      <c r="L3" s="10">
        <v>0.221</v>
      </c>
      <c r="M3" s="10">
        <v>5.5E-2</v>
      </c>
      <c r="N3" s="10">
        <v>4.8000000000000001E-2</v>
      </c>
      <c r="O3" s="10">
        <v>0.23599999999999999</v>
      </c>
      <c r="P3" s="10">
        <v>0.03</v>
      </c>
    </row>
    <row r="4" spans="1:16" x14ac:dyDescent="0.25">
      <c r="A4" s="11">
        <v>2012</v>
      </c>
      <c r="B4" s="11">
        <v>1081</v>
      </c>
      <c r="C4" s="11">
        <v>536</v>
      </c>
      <c r="D4" s="11">
        <v>488</v>
      </c>
      <c r="E4" s="10">
        <v>0.52400000000000002</v>
      </c>
      <c r="F4" s="10">
        <v>0.379</v>
      </c>
      <c r="G4" s="10">
        <v>0.312</v>
      </c>
      <c r="H4" s="10">
        <v>0.02</v>
      </c>
      <c r="I4" s="10">
        <v>0.20300000000000001</v>
      </c>
      <c r="J4" s="10">
        <v>0.16200000000000001</v>
      </c>
      <c r="K4" s="10">
        <v>2.9000000000000001E-2</v>
      </c>
      <c r="L4" s="10">
        <v>0.27</v>
      </c>
      <c r="M4" s="10">
        <v>6.2E-2</v>
      </c>
      <c r="N4" s="10">
        <v>3.1E-2</v>
      </c>
      <c r="O4" s="10">
        <v>0.28299999999999997</v>
      </c>
      <c r="P4" s="10">
        <v>2.1000000000000001E-2</v>
      </c>
    </row>
    <row r="5" spans="1:16" x14ac:dyDescent="0.25">
      <c r="A5" s="11">
        <v>2013</v>
      </c>
      <c r="B5" s="11">
        <v>1086</v>
      </c>
      <c r="C5" s="11">
        <v>723</v>
      </c>
      <c r="D5" s="11">
        <v>711</v>
      </c>
      <c r="E5" s="10">
        <v>0.60299999999999998</v>
      </c>
      <c r="F5" s="10">
        <v>0.45</v>
      </c>
      <c r="G5" s="10">
        <v>0.38300000000000001</v>
      </c>
      <c r="H5" s="10">
        <v>4.3999999999999997E-2</v>
      </c>
      <c r="I5" s="10">
        <v>0.217</v>
      </c>
      <c r="J5" s="10">
        <v>0.19400000000000001</v>
      </c>
      <c r="K5" s="10">
        <v>5.8000000000000003E-2</v>
      </c>
      <c r="L5" s="10">
        <v>0.29399999999999998</v>
      </c>
      <c r="M5" s="10">
        <v>7.6999999999999999E-2</v>
      </c>
      <c r="N5" s="10">
        <v>6.8000000000000005E-2</v>
      </c>
      <c r="O5" s="10">
        <v>0.31900000000000001</v>
      </c>
      <c r="P5" s="10">
        <v>3.9E-2</v>
      </c>
    </row>
    <row r="6" spans="1:16" x14ac:dyDescent="0.25">
      <c r="A6" s="11">
        <v>2014</v>
      </c>
      <c r="B6" s="11">
        <v>905</v>
      </c>
      <c r="C6" s="11">
        <v>387</v>
      </c>
      <c r="D6" s="11">
        <v>889</v>
      </c>
      <c r="E6" s="10">
        <v>0.69799999999999995</v>
      </c>
      <c r="F6" s="10">
        <v>0.54800000000000004</v>
      </c>
      <c r="G6" s="10">
        <v>0.45200000000000001</v>
      </c>
      <c r="H6" s="10">
        <v>0.11799999999999999</v>
      </c>
      <c r="I6" s="10">
        <v>0.19</v>
      </c>
      <c r="J6" s="10">
        <v>0.17599999999999999</v>
      </c>
      <c r="K6" s="10">
        <v>0.13200000000000001</v>
      </c>
      <c r="L6" s="10">
        <v>0.246</v>
      </c>
      <c r="M6" s="10">
        <v>6.5000000000000002E-2</v>
      </c>
      <c r="N6" s="10">
        <v>0.13300000000000001</v>
      </c>
      <c r="O6" s="10">
        <v>0.26700000000000002</v>
      </c>
      <c r="P6" s="10">
        <v>2.3E-2</v>
      </c>
    </row>
    <row r="7" spans="1:16" x14ac:dyDescent="0.25">
      <c r="A7" s="11">
        <v>2015</v>
      </c>
      <c r="B7" s="11">
        <v>869</v>
      </c>
      <c r="C7" s="11">
        <v>400</v>
      </c>
      <c r="D7" s="11">
        <v>848</v>
      </c>
      <c r="E7" s="10">
        <v>0.75</v>
      </c>
      <c r="F7" s="10">
        <v>0.64</v>
      </c>
      <c r="G7" s="10">
        <v>0.51800000000000002</v>
      </c>
      <c r="H7" s="10">
        <v>8.7999999999999995E-2</v>
      </c>
      <c r="I7" s="10">
        <v>0.219</v>
      </c>
      <c r="J7" s="10">
        <v>0.22</v>
      </c>
      <c r="K7" s="10">
        <v>0.106</v>
      </c>
      <c r="L7" s="10">
        <v>0.28499999999999998</v>
      </c>
      <c r="M7" s="10">
        <v>0.11</v>
      </c>
      <c r="N7" s="10">
        <v>0.108</v>
      </c>
      <c r="O7" s="10">
        <v>0.30099999999999999</v>
      </c>
      <c r="P7" s="10">
        <v>4.8000000000000001E-2</v>
      </c>
    </row>
    <row r="8" spans="1:16" x14ac:dyDescent="0.25">
      <c r="A8" s="11">
        <v>2016</v>
      </c>
      <c r="B8" s="11">
        <v>864</v>
      </c>
      <c r="C8" s="11">
        <v>361</v>
      </c>
      <c r="D8" s="11">
        <v>775</v>
      </c>
      <c r="E8" s="10">
        <v>0.745</v>
      </c>
      <c r="F8" s="10">
        <v>0.57599999999999996</v>
      </c>
      <c r="G8" s="10">
        <v>0.48499999999999999</v>
      </c>
      <c r="H8" s="10">
        <v>9.2999999999999999E-2</v>
      </c>
      <c r="I8" s="10">
        <v>0.22600000000000001</v>
      </c>
      <c r="J8" s="10">
        <v>0.23300000000000001</v>
      </c>
      <c r="K8" s="10">
        <v>0.105</v>
      </c>
      <c r="L8" s="10">
        <v>0.30599999999999999</v>
      </c>
      <c r="M8" s="10">
        <v>9.4E-2</v>
      </c>
      <c r="N8" s="10">
        <v>0.112</v>
      </c>
      <c r="O8" s="10">
        <v>0.32500000000000001</v>
      </c>
      <c r="P8" s="10">
        <v>3.5999999999999997E-2</v>
      </c>
    </row>
    <row r="9" spans="1:16" x14ac:dyDescent="0.25">
      <c r="A9" s="11">
        <v>2017</v>
      </c>
      <c r="B9" s="11">
        <v>700</v>
      </c>
      <c r="C9" s="11">
        <v>320</v>
      </c>
      <c r="D9" s="11">
        <v>596</v>
      </c>
      <c r="E9" s="10">
        <v>0.76300000000000001</v>
      </c>
      <c r="F9" s="10">
        <v>0.61299999999999999</v>
      </c>
      <c r="G9" s="10">
        <v>0.48799999999999999</v>
      </c>
      <c r="H9" s="10">
        <v>0.10100000000000001</v>
      </c>
      <c r="I9" s="10">
        <v>0.26800000000000002</v>
      </c>
      <c r="J9" s="10">
        <v>0.17799999999999999</v>
      </c>
      <c r="K9" s="10">
        <v>0.107</v>
      </c>
      <c r="L9" s="10">
        <v>0.32</v>
      </c>
      <c r="M9" s="10">
        <v>0.106</v>
      </c>
      <c r="N9" s="10">
        <v>0.11899999999999999</v>
      </c>
      <c r="O9" s="10">
        <v>0.34399999999999997</v>
      </c>
      <c r="P9" s="10">
        <v>0.05</v>
      </c>
    </row>
    <row r="10" spans="1:16" x14ac:dyDescent="0.25">
      <c r="A10" s="11">
        <v>2018</v>
      </c>
      <c r="B10" s="11">
        <v>616</v>
      </c>
      <c r="C10" s="11">
        <v>302</v>
      </c>
      <c r="D10" s="11">
        <v>607</v>
      </c>
      <c r="E10" s="10">
        <v>0.78100000000000003</v>
      </c>
      <c r="F10" s="10">
        <v>0.65600000000000003</v>
      </c>
      <c r="G10" s="10">
        <v>0.55600000000000005</v>
      </c>
      <c r="H10" s="10">
        <v>0.14299999999999999</v>
      </c>
      <c r="I10" s="10">
        <v>0.28799999999999998</v>
      </c>
      <c r="J10" s="10">
        <v>0.20899999999999999</v>
      </c>
      <c r="K10" s="10">
        <v>0.15</v>
      </c>
      <c r="L10" s="10">
        <v>0.374</v>
      </c>
      <c r="M10" s="10">
        <v>0.14899999999999999</v>
      </c>
      <c r="N10" s="10">
        <v>0.15</v>
      </c>
      <c r="O10" s="10">
        <v>0.40899999999999997</v>
      </c>
      <c r="P10" s="10">
        <f>21/302</f>
        <v>6.9536423841059597E-2</v>
      </c>
    </row>
    <row r="11" spans="1:16" x14ac:dyDescent="0.25">
      <c r="A11" s="11">
        <v>2019</v>
      </c>
      <c r="B11" s="11">
        <v>808</v>
      </c>
      <c r="C11" s="11">
        <v>339</v>
      </c>
      <c r="D11" s="11">
        <v>772</v>
      </c>
      <c r="E11" s="10">
        <v>0.72299999999999998</v>
      </c>
      <c r="F11" s="10">
        <v>0.60199999999999998</v>
      </c>
      <c r="G11" s="10">
        <v>0.49</v>
      </c>
      <c r="H11" s="10">
        <v>9.7000000000000003E-2</v>
      </c>
      <c r="I11" s="10">
        <v>0.22700000000000001</v>
      </c>
      <c r="J11" s="10">
        <v>0.35399999999999998</v>
      </c>
      <c r="K11" s="10">
        <v>0.105</v>
      </c>
      <c r="L11" s="10">
        <v>0.32100000000000001</v>
      </c>
      <c r="M11" s="10">
        <v>0.16814159292035399</v>
      </c>
      <c r="N11" s="10">
        <f>85/772</f>
        <v>0.11010362694300518</v>
      </c>
      <c r="O11" s="10">
        <f>266/772</f>
        <v>0.34455958549222798</v>
      </c>
      <c r="P11" s="10">
        <f>27/339</f>
        <v>7.9646017699115043E-2</v>
      </c>
    </row>
    <row r="12" spans="1:16" x14ac:dyDescent="0.25">
      <c r="A12" s="11">
        <v>2020</v>
      </c>
      <c r="B12" s="11">
        <v>627</v>
      </c>
      <c r="C12" s="11">
        <v>311</v>
      </c>
      <c r="D12" s="11">
        <v>600</v>
      </c>
      <c r="E12" s="10">
        <v>0.69799999999999995</v>
      </c>
      <c r="F12" s="10">
        <v>0.52700000000000002</v>
      </c>
      <c r="G12" s="10">
        <v>0.42399999999999999</v>
      </c>
      <c r="H12" s="10">
        <v>0.13500000000000001</v>
      </c>
      <c r="I12" s="10">
        <v>0.245</v>
      </c>
      <c r="J12" s="10">
        <v>0.16077170418006431</v>
      </c>
      <c r="K12" s="10">
        <f>90/600</f>
        <v>0.15</v>
      </c>
      <c r="L12" s="10">
        <f>185/600</f>
        <v>0.30833333333333335</v>
      </c>
      <c r="M12" s="10">
        <f>26/311</f>
        <v>8.3601286173633438E-2</v>
      </c>
      <c r="N12" s="10">
        <f>95/600</f>
        <v>0.15833333333333333</v>
      </c>
      <c r="O12" s="10">
        <f>200/600</f>
        <v>0.33333333333333331</v>
      </c>
      <c r="P12" s="10">
        <f>6/311</f>
        <v>1.9292604501607719E-2</v>
      </c>
    </row>
    <row r="13" spans="1:16" x14ac:dyDescent="0.25">
      <c r="A13" s="11">
        <v>2021</v>
      </c>
      <c r="B13" s="11">
        <v>552</v>
      </c>
      <c r="C13" s="11">
        <v>222</v>
      </c>
      <c r="D13" s="11">
        <v>531</v>
      </c>
      <c r="E13" s="10">
        <v>0.65300000000000002</v>
      </c>
      <c r="F13" s="10">
        <v>0.495</v>
      </c>
      <c r="G13" s="10">
        <v>0.40090090090090091</v>
      </c>
      <c r="H13" s="10">
        <f>59/531</f>
        <v>0.1111111111111111</v>
      </c>
      <c r="I13" s="10">
        <f>120/531</f>
        <v>0.22598870056497175</v>
      </c>
      <c r="J13" s="10">
        <f>41/222</f>
        <v>0.18468468468468469</v>
      </c>
      <c r="K13" s="10">
        <f>67/531</f>
        <v>0.12617702448210924</v>
      </c>
      <c r="L13" s="10">
        <f>154/531</f>
        <v>0.29001883239171372</v>
      </c>
      <c r="M13" s="10">
        <f>20/222</f>
        <v>9.0090090090090086E-2</v>
      </c>
    </row>
    <row r="14" spans="1:16" x14ac:dyDescent="0.25">
      <c r="A14" s="11">
        <v>2022</v>
      </c>
      <c r="B14" s="11">
        <v>639</v>
      </c>
      <c r="C14" s="11">
        <v>253</v>
      </c>
      <c r="D14" s="11">
        <v>616</v>
      </c>
      <c r="E14" s="10">
        <v>0.7</v>
      </c>
      <c r="F14" s="10">
        <v>0.60474308300395252</v>
      </c>
      <c r="G14" s="10">
        <f>124/253</f>
        <v>0.49011857707509882</v>
      </c>
      <c r="H14" s="10">
        <f>75/616</f>
        <v>0.12175324675324675</v>
      </c>
      <c r="I14" s="10">
        <f>141/616</f>
        <v>0.2288961038961039</v>
      </c>
      <c r="J14" s="10">
        <f>34/253</f>
        <v>0.13438735177865613</v>
      </c>
    </row>
    <row r="15" spans="1:16" x14ac:dyDescent="0.25">
      <c r="A15" s="11">
        <v>2023</v>
      </c>
      <c r="B15" s="11">
        <v>639</v>
      </c>
      <c r="C15" s="11">
        <v>289</v>
      </c>
      <c r="D15" s="11">
        <v>621</v>
      </c>
      <c r="E15" s="10">
        <v>0.71830000000000005</v>
      </c>
      <c r="F15" s="10">
        <f>169/289</f>
        <v>0.58477508650519028</v>
      </c>
      <c r="G15" s="10">
        <f>136/289</f>
        <v>0.47058823529411764</v>
      </c>
    </row>
    <row r="16" spans="1:16" x14ac:dyDescent="0.25">
      <c r="A16" s="11">
        <v>2024</v>
      </c>
      <c r="B16" s="11">
        <v>539</v>
      </c>
      <c r="C16" s="11">
        <v>240</v>
      </c>
      <c r="D16" s="11">
        <v>484</v>
      </c>
      <c r="E16" s="10">
        <f>170/240</f>
        <v>0.70833333333333337</v>
      </c>
      <c r="F16" s="10">
        <f>136/240</f>
        <v>0.56666666666666665</v>
      </c>
    </row>
    <row r="17" spans="1:5" x14ac:dyDescent="0.25">
      <c r="A17" s="2">
        <v>2025</v>
      </c>
      <c r="B17" s="2">
        <v>648</v>
      </c>
      <c r="C17" s="2">
        <v>259</v>
      </c>
      <c r="D17" s="2">
        <v>319</v>
      </c>
      <c r="E17" s="10">
        <f>181/259</f>
        <v>0.69884169884169889</v>
      </c>
    </row>
    <row r="18" spans="1:5" x14ac:dyDescent="0.25">
      <c r="A18" s="2">
        <v>2026</v>
      </c>
      <c r="B18" s="2">
        <v>702</v>
      </c>
      <c r="C18" s="2">
        <v>271</v>
      </c>
      <c r="D18" s="2">
        <v>338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E8AF-DD86-4A97-A38A-CFA6AE60F597}">
  <dimension ref="A1:O18"/>
  <sheetViews>
    <sheetView workbookViewId="0"/>
  </sheetViews>
  <sheetFormatPr defaultRowHeight="15" x14ac:dyDescent="0.25"/>
  <cols>
    <col min="1" max="1" width="17.7109375" style="2" customWidth="1"/>
    <col min="2" max="2" width="10.42578125" style="2" bestFit="1" customWidth="1"/>
    <col min="3" max="3" width="16.85546875" style="2" customWidth="1"/>
    <col min="4" max="5" width="9.7109375" style="3" customWidth="1"/>
    <col min="6" max="6" width="9.5703125" style="3" customWidth="1"/>
    <col min="7" max="7" width="13.7109375" style="3" customWidth="1"/>
    <col min="8" max="8" width="14.85546875" style="3" customWidth="1"/>
    <col min="9" max="9" width="10.140625" style="3" customWidth="1"/>
    <col min="10" max="10" width="12.42578125" style="3" customWidth="1"/>
    <col min="11" max="11" width="13.85546875" style="3" customWidth="1"/>
    <col min="12" max="12" width="10.28515625" style="3" customWidth="1"/>
    <col min="13" max="13" width="12.28515625" style="3" customWidth="1"/>
    <col min="14" max="14" width="15.140625" style="3" customWidth="1"/>
    <col min="15" max="15" width="10.5703125" style="3" customWidth="1"/>
  </cols>
  <sheetData>
    <row r="1" spans="1:15" ht="81.75" customHeight="1" x14ac:dyDescent="0.25">
      <c r="A1" s="2" t="s">
        <v>0</v>
      </c>
      <c r="B1" s="4" t="s">
        <v>13</v>
      </c>
      <c r="C1" s="4" t="s">
        <v>14</v>
      </c>
      <c r="D1" s="6" t="s">
        <v>1</v>
      </c>
      <c r="E1" s="6" t="s">
        <v>2</v>
      </c>
      <c r="F1" s="6" t="s">
        <v>3</v>
      </c>
      <c r="G1" s="6" t="s">
        <v>7</v>
      </c>
      <c r="H1" s="6" t="s">
        <v>8</v>
      </c>
      <c r="I1" s="6" t="s">
        <v>4</v>
      </c>
      <c r="J1" s="6" t="s">
        <v>11</v>
      </c>
      <c r="K1" s="6" t="s">
        <v>12</v>
      </c>
      <c r="L1" s="6" t="s">
        <v>5</v>
      </c>
      <c r="M1" s="6" t="s">
        <v>9</v>
      </c>
      <c r="N1" s="6" t="s">
        <v>10</v>
      </c>
      <c r="O1" s="6" t="s">
        <v>6</v>
      </c>
    </row>
    <row r="2" spans="1:15" x14ac:dyDescent="0.25">
      <c r="A2" s="2">
        <v>2010</v>
      </c>
      <c r="B2" s="2">
        <v>210</v>
      </c>
      <c r="C2" s="2">
        <v>210</v>
      </c>
      <c r="D2" s="3">
        <f>123/210</f>
        <v>0.58571428571428574</v>
      </c>
      <c r="E2" s="3">
        <f>88/210</f>
        <v>0.41904761904761906</v>
      </c>
      <c r="F2" s="3">
        <f>62/210</f>
        <v>0.29523809523809524</v>
      </c>
      <c r="G2" s="3">
        <f>8/210</f>
        <v>3.8095238095238099E-2</v>
      </c>
      <c r="H2" s="3">
        <f>28/210</f>
        <v>0.13333333333333333</v>
      </c>
      <c r="I2" s="3">
        <f>38/210</f>
        <v>0.18095238095238095</v>
      </c>
      <c r="J2" s="3">
        <f>9/210</f>
        <v>4.2857142857142858E-2</v>
      </c>
      <c r="K2" s="3">
        <f>40/210</f>
        <v>0.19047619047619047</v>
      </c>
      <c r="L2" s="3">
        <f>17/210</f>
        <v>8.0952380952380956E-2</v>
      </c>
      <c r="M2" s="3">
        <f>9/210</f>
        <v>4.2857142857142858E-2</v>
      </c>
      <c r="N2" s="3">
        <f>45/210</f>
        <v>0.21428571428571427</v>
      </c>
      <c r="O2" s="3">
        <f>5/210</f>
        <v>2.3809523809523808E-2</v>
      </c>
    </row>
    <row r="3" spans="1:15" x14ac:dyDescent="0.25">
      <c r="A3" s="2">
        <f>A2+1</f>
        <v>2011</v>
      </c>
      <c r="B3" s="2">
        <v>243</v>
      </c>
      <c r="C3" s="2">
        <v>221</v>
      </c>
      <c r="D3" s="3">
        <f>129/243</f>
        <v>0.53086419753086422</v>
      </c>
      <c r="E3" s="3">
        <f>93/243</f>
        <v>0.38271604938271603</v>
      </c>
      <c r="F3" s="3">
        <f>76/243</f>
        <v>0.31275720164609055</v>
      </c>
      <c r="G3" s="3">
        <f>11/221</f>
        <v>4.9773755656108594E-2</v>
      </c>
      <c r="H3" s="3">
        <f>50/221</f>
        <v>0.22624434389140272</v>
      </c>
      <c r="I3" s="3">
        <f>35/243</f>
        <v>0.1440329218106996</v>
      </c>
      <c r="J3" s="3">
        <f>11/221</f>
        <v>4.9773755656108594E-2</v>
      </c>
      <c r="K3" s="3">
        <f>61/221</f>
        <v>0.27601809954751133</v>
      </c>
      <c r="L3" s="3">
        <f>18/243</f>
        <v>7.407407407407407E-2</v>
      </c>
      <c r="M3" s="3">
        <f>12/221</f>
        <v>5.4298642533936653E-2</v>
      </c>
      <c r="N3" s="3">
        <f>64/221</f>
        <v>0.2895927601809955</v>
      </c>
      <c r="O3" s="3">
        <f>10/243</f>
        <v>4.1152263374485597E-2</v>
      </c>
    </row>
    <row r="4" spans="1:15" x14ac:dyDescent="0.25">
      <c r="A4" s="2">
        <f t="shared" ref="A4:A12" si="0">A3+1</f>
        <v>2012</v>
      </c>
      <c r="B4" s="2">
        <v>234</v>
      </c>
      <c r="C4" s="2">
        <v>214</v>
      </c>
      <c r="D4" s="3">
        <f>134/234</f>
        <v>0.57264957264957261</v>
      </c>
      <c r="E4" s="3">
        <f>90/234</f>
        <v>0.38461538461538464</v>
      </c>
      <c r="F4" s="3">
        <f>74/234</f>
        <v>0.31623931623931623</v>
      </c>
      <c r="G4" s="3">
        <f>10/214</f>
        <v>4.6728971962616821E-2</v>
      </c>
      <c r="H4" s="3">
        <f>45/214</f>
        <v>0.2102803738317757</v>
      </c>
      <c r="I4" s="3">
        <f>34/234</f>
        <v>0.14529914529914531</v>
      </c>
      <c r="J4" s="3">
        <f>12/214</f>
        <v>5.6074766355140186E-2</v>
      </c>
      <c r="K4" s="3">
        <f>57/214</f>
        <v>0.26635514018691586</v>
      </c>
      <c r="L4" s="3">
        <f>16/234</f>
        <v>6.8376068376068383E-2</v>
      </c>
      <c r="M4" s="3">
        <f>13/214</f>
        <v>6.0747663551401869E-2</v>
      </c>
      <c r="N4" s="3">
        <f>59/214</f>
        <v>0.27570093457943923</v>
      </c>
      <c r="O4" s="3">
        <f>5/234</f>
        <v>2.1367521367521368E-2</v>
      </c>
    </row>
    <row r="5" spans="1:15" x14ac:dyDescent="0.25">
      <c r="A5" s="2">
        <f t="shared" si="0"/>
        <v>2013</v>
      </c>
      <c r="B5" s="2">
        <v>363</v>
      </c>
      <c r="C5" s="2">
        <v>355</v>
      </c>
      <c r="D5" s="3">
        <f>221/363</f>
        <v>0.60881542699724522</v>
      </c>
      <c r="E5" s="3">
        <f>165/363</f>
        <v>0.45454545454545453</v>
      </c>
      <c r="F5" s="3">
        <f>144/363</f>
        <v>0.39669421487603307</v>
      </c>
      <c r="G5" s="3">
        <f>17/355</f>
        <v>4.788732394366197E-2</v>
      </c>
      <c r="H5" s="3">
        <f>88/355</f>
        <v>0.24788732394366197</v>
      </c>
      <c r="I5" s="3">
        <f>74/363</f>
        <v>0.20385674931129477</v>
      </c>
      <c r="J5" s="3">
        <f>23/355</f>
        <v>6.4788732394366194E-2</v>
      </c>
      <c r="K5" s="3">
        <f>116/355</f>
        <v>0.3267605633802817</v>
      </c>
      <c r="L5" s="3">
        <f>32/363</f>
        <v>8.8154269972451793E-2</v>
      </c>
      <c r="M5" s="3">
        <f>25/355</f>
        <v>7.0422535211267609E-2</v>
      </c>
      <c r="N5" s="3">
        <f>125/355</f>
        <v>0.352112676056338</v>
      </c>
      <c r="O5" s="3">
        <f>13/363</f>
        <v>3.5812672176308541E-2</v>
      </c>
    </row>
    <row r="6" spans="1:15" x14ac:dyDescent="0.25">
      <c r="A6" s="2">
        <f t="shared" si="0"/>
        <v>2014</v>
      </c>
      <c r="B6" s="2">
        <v>162</v>
      </c>
      <c r="C6" s="2">
        <v>464</v>
      </c>
      <c r="D6" s="3">
        <f>109/162</f>
        <v>0.6728395061728395</v>
      </c>
      <c r="E6" s="3">
        <f>92/162</f>
        <v>0.5679012345679012</v>
      </c>
      <c r="F6" s="3">
        <f>72/162</f>
        <v>0.44444444444444442</v>
      </c>
      <c r="G6" s="3">
        <f>75/464</f>
        <v>0.16163793103448276</v>
      </c>
      <c r="H6" s="3">
        <f>92/464</f>
        <v>0.19827586206896552</v>
      </c>
      <c r="I6" s="3">
        <f>28/162</f>
        <v>0.1728395061728395</v>
      </c>
      <c r="J6" s="3">
        <f>78/464</f>
        <v>0.16810344827586207</v>
      </c>
      <c r="K6" s="3">
        <f>113/464</f>
        <v>0.24353448275862069</v>
      </c>
      <c r="L6" s="3">
        <f>11/162</f>
        <v>6.7901234567901231E-2</v>
      </c>
      <c r="M6" s="3">
        <f>78/464</f>
        <v>0.16810344827586207</v>
      </c>
      <c r="N6" s="3">
        <f>121/464</f>
        <v>0.26077586206896552</v>
      </c>
      <c r="O6" s="3">
        <f>5/162</f>
        <v>3.0864197530864196E-2</v>
      </c>
    </row>
    <row r="7" spans="1:15" x14ac:dyDescent="0.25">
      <c r="A7" s="2">
        <f t="shared" si="0"/>
        <v>2015</v>
      </c>
      <c r="B7" s="2">
        <v>199</v>
      </c>
      <c r="C7" s="2">
        <v>454</v>
      </c>
      <c r="D7" s="3">
        <f>160/199</f>
        <v>0.8040201005025126</v>
      </c>
      <c r="E7" s="3">
        <f>140/199</f>
        <v>0.70351758793969854</v>
      </c>
      <c r="F7" s="3">
        <f>113/199</f>
        <v>0.56783919597989951</v>
      </c>
      <c r="G7" s="3">
        <f>51/454</f>
        <v>0.11233480176211454</v>
      </c>
      <c r="H7" s="3">
        <f>107/454</f>
        <v>0.23568281938325991</v>
      </c>
      <c r="I7" s="3">
        <f>52/199</f>
        <v>0.2613065326633166</v>
      </c>
      <c r="J7" s="3">
        <f>58/454</f>
        <v>0.1277533039647577</v>
      </c>
      <c r="K7" s="3">
        <f>142/454</f>
        <v>0.31277533039647576</v>
      </c>
      <c r="L7" s="3">
        <f>27/199</f>
        <v>0.135678391959799</v>
      </c>
      <c r="M7" s="3">
        <f>59/454</f>
        <v>0.12995594713656389</v>
      </c>
      <c r="N7" s="3">
        <f>146/454</f>
        <v>0.32158590308370044</v>
      </c>
      <c r="O7" s="3">
        <f>10/199</f>
        <v>5.0251256281407038E-2</v>
      </c>
    </row>
    <row r="8" spans="1:15" x14ac:dyDescent="0.25">
      <c r="A8" s="2">
        <f t="shared" si="0"/>
        <v>2016</v>
      </c>
      <c r="B8" s="2">
        <v>156</v>
      </c>
      <c r="C8" s="2">
        <v>381</v>
      </c>
      <c r="D8" s="3">
        <f>124/156</f>
        <v>0.79487179487179482</v>
      </c>
      <c r="E8" s="3">
        <f>102/156</f>
        <v>0.65384615384615385</v>
      </c>
      <c r="F8" s="3">
        <f>82/156</f>
        <v>0.52564102564102566</v>
      </c>
      <c r="G8" s="3">
        <f>52/381</f>
        <v>0.13648293963254593</v>
      </c>
      <c r="H8" s="3">
        <f>112/381</f>
        <v>0.29396325459317585</v>
      </c>
      <c r="I8" s="3">
        <f>36/156</f>
        <v>0.23076923076923078</v>
      </c>
      <c r="J8" s="3">
        <f>57/381</f>
        <v>0.14960629921259844</v>
      </c>
      <c r="K8" s="3">
        <f>136/381</f>
        <v>0.35695538057742782</v>
      </c>
      <c r="L8" s="3">
        <f>18/156</f>
        <v>0.11538461538461539</v>
      </c>
      <c r="M8" s="3">
        <f>60/381</f>
        <v>0.15748031496062992</v>
      </c>
      <c r="N8" s="3">
        <f>139/381</f>
        <v>0.3648293963254593</v>
      </c>
      <c r="O8" s="3">
        <f>7/156</f>
        <v>4.4871794871794872E-2</v>
      </c>
    </row>
    <row r="9" spans="1:15" x14ac:dyDescent="0.25">
      <c r="A9" s="2">
        <f t="shared" si="0"/>
        <v>2017</v>
      </c>
      <c r="B9" s="2">
        <v>134</v>
      </c>
      <c r="C9" s="2">
        <v>284</v>
      </c>
      <c r="D9" s="3">
        <f>109/134</f>
        <v>0.81343283582089554</v>
      </c>
      <c r="E9" s="3">
        <f>85/134</f>
        <v>0.63432835820895528</v>
      </c>
      <c r="F9" s="3">
        <f>64/134</f>
        <v>0.47761194029850745</v>
      </c>
      <c r="G9" s="3">
        <f>43/284</f>
        <v>0.15140845070422534</v>
      </c>
      <c r="H9" s="3">
        <f>90/284</f>
        <v>0.31690140845070425</v>
      </c>
      <c r="I9" s="3">
        <f>26/134</f>
        <v>0.19402985074626866</v>
      </c>
      <c r="J9" s="3">
        <f>44/284</f>
        <v>0.15492957746478872</v>
      </c>
      <c r="K9" s="3">
        <f>101/284</f>
        <v>0.35563380281690143</v>
      </c>
      <c r="L9" s="3">
        <f>20/134</f>
        <v>0.14925373134328357</v>
      </c>
      <c r="M9" s="3">
        <f>57/341</f>
        <v>0.16715542521994134</v>
      </c>
      <c r="N9" s="3">
        <f>135/341</f>
        <v>0.39589442815249265</v>
      </c>
      <c r="O9" s="3">
        <f>3/134</f>
        <v>2.2388059701492536E-2</v>
      </c>
    </row>
    <row r="10" spans="1:15" x14ac:dyDescent="0.25">
      <c r="A10" s="2">
        <f t="shared" si="0"/>
        <v>2018</v>
      </c>
      <c r="B10" s="2">
        <v>139</v>
      </c>
      <c r="C10" s="2">
        <v>319</v>
      </c>
      <c r="D10" s="3">
        <f>110/139</f>
        <v>0.79136690647482011</v>
      </c>
      <c r="E10" s="3">
        <f>94/139</f>
        <v>0.67625899280575541</v>
      </c>
      <c r="F10" s="3">
        <f>82/139</f>
        <v>0.58992805755395683</v>
      </c>
      <c r="G10" s="3">
        <f>57/319</f>
        <v>0.17868338557993729</v>
      </c>
      <c r="H10" s="3">
        <f>105/319</f>
        <v>0.32915360501567398</v>
      </c>
      <c r="I10" s="3">
        <f>24/139</f>
        <v>0.17266187050359713</v>
      </c>
      <c r="J10" s="3">
        <f>59/319</f>
        <v>0.18495297805642633</v>
      </c>
      <c r="K10" s="3">
        <f>129/319</f>
        <v>0.40438871473354232</v>
      </c>
      <c r="L10" s="3">
        <f>14/139</f>
        <v>0.10071942446043165</v>
      </c>
      <c r="M10" s="3">
        <f>59/319</f>
        <v>0.18495297805642633</v>
      </c>
      <c r="N10" s="3">
        <f>135/319</f>
        <v>0.42319749216300939</v>
      </c>
      <c r="O10" s="3">
        <f>2/139</f>
        <v>1.4388489208633094E-2</v>
      </c>
    </row>
    <row r="11" spans="1:15" x14ac:dyDescent="0.25">
      <c r="A11" s="2">
        <f t="shared" si="0"/>
        <v>2019</v>
      </c>
      <c r="B11" s="2">
        <v>156</v>
      </c>
      <c r="C11" s="2">
        <v>388</v>
      </c>
      <c r="D11" s="3">
        <f>116/156</f>
        <v>0.74358974358974361</v>
      </c>
      <c r="E11" s="3">
        <f>95/156</f>
        <v>0.60897435897435892</v>
      </c>
      <c r="F11" s="3">
        <f>78/156</f>
        <v>0.5</v>
      </c>
      <c r="G11" s="3">
        <f>51/388</f>
        <v>0.13144329896907217</v>
      </c>
      <c r="H11" s="3">
        <f>96/388</f>
        <v>0.24742268041237114</v>
      </c>
      <c r="I11" s="3">
        <f>26/156</f>
        <v>0.16666666666666666</v>
      </c>
      <c r="J11" s="3">
        <f>51/388</f>
        <v>0.13144329896907217</v>
      </c>
      <c r="K11" s="3">
        <f>139/388</f>
        <v>0.35824742268041238</v>
      </c>
      <c r="L11" s="3">
        <f>12/156</f>
        <v>7.6923076923076927E-2</v>
      </c>
      <c r="M11" s="3">
        <f>53/388</f>
        <v>0.13659793814432988</v>
      </c>
      <c r="N11" s="3">
        <f>145/388</f>
        <v>0.37371134020618557</v>
      </c>
      <c r="O11" s="3">
        <f>4/156</f>
        <v>2.564102564102564E-2</v>
      </c>
    </row>
    <row r="12" spans="1:15" x14ac:dyDescent="0.25">
      <c r="A12" s="2">
        <f t="shared" si="0"/>
        <v>2020</v>
      </c>
      <c r="B12" s="2">
        <v>152</v>
      </c>
      <c r="C12" s="2">
        <v>332</v>
      </c>
      <c r="D12" s="3">
        <f>110/152</f>
        <v>0.72368421052631582</v>
      </c>
      <c r="E12" s="3">
        <f>86/152</f>
        <v>0.56578947368421051</v>
      </c>
      <c r="F12" s="3">
        <f>69/152</f>
        <v>0.45394736842105265</v>
      </c>
      <c r="G12" s="3">
        <f>63/332</f>
        <v>0.18975903614457831</v>
      </c>
      <c r="H12" s="3">
        <f>90/332</f>
        <v>0.27108433734939757</v>
      </c>
      <c r="I12" s="3">
        <f>26/152</f>
        <v>0.17105263157894737</v>
      </c>
      <c r="J12" s="3">
        <f>67/332</f>
        <v>0.20180722891566266</v>
      </c>
      <c r="K12" s="3">
        <f>103/332</f>
        <v>0.31024096385542171</v>
      </c>
      <c r="L12" s="3">
        <f>14/152</f>
        <v>9.2105263157894732E-2</v>
      </c>
      <c r="M12" s="3">
        <f>68/332</f>
        <v>0.20481927710843373</v>
      </c>
      <c r="N12" s="3">
        <f>112/332</f>
        <v>0.33734939759036142</v>
      </c>
      <c r="O12" s="3">
        <f>5/152</f>
        <v>3.2894736842105261E-2</v>
      </c>
    </row>
    <row r="13" spans="1:15" x14ac:dyDescent="0.25">
      <c r="A13" s="2">
        <v>2021</v>
      </c>
      <c r="B13" s="2">
        <v>107</v>
      </c>
      <c r="C13" s="2">
        <v>287</v>
      </c>
      <c r="D13" s="3">
        <f>73/107</f>
        <v>0.68224299065420557</v>
      </c>
      <c r="E13" s="3">
        <f>58/107</f>
        <v>0.54205607476635509</v>
      </c>
      <c r="F13" s="3">
        <f>43/107</f>
        <v>0.40186915887850466</v>
      </c>
      <c r="G13" s="3">
        <f>35/287</f>
        <v>0.12195121951219512</v>
      </c>
      <c r="H13" s="3">
        <f>72/287</f>
        <v>0.25087108013937282</v>
      </c>
      <c r="I13" s="3">
        <f>17/107</f>
        <v>0.15887850467289719</v>
      </c>
      <c r="J13" s="3">
        <f>42/287</f>
        <v>0.14634146341463414</v>
      </c>
      <c r="K13" s="3">
        <f>91/287</f>
        <v>0.31707317073170732</v>
      </c>
      <c r="L13" s="3">
        <f>10/107</f>
        <v>9.3457943925233641E-2</v>
      </c>
    </row>
    <row r="14" spans="1:15" x14ac:dyDescent="0.25">
      <c r="A14" s="2">
        <v>2022</v>
      </c>
      <c r="B14" s="2">
        <v>124</v>
      </c>
      <c r="C14" s="2">
        <v>353</v>
      </c>
      <c r="D14" s="3">
        <f>88/124</f>
        <v>0.70967741935483875</v>
      </c>
      <c r="E14" s="3">
        <f>76/124</f>
        <v>0.61290322580645162</v>
      </c>
      <c r="F14" s="3">
        <f>62/124</f>
        <v>0.5</v>
      </c>
      <c r="G14" s="3">
        <f>49/353</f>
        <v>0.13881019830028329</v>
      </c>
      <c r="H14" s="3">
        <f>89/353</f>
        <v>0.25212464589235128</v>
      </c>
      <c r="I14" s="3">
        <f>13/124</f>
        <v>0.10483870967741936</v>
      </c>
    </row>
    <row r="15" spans="1:15" x14ac:dyDescent="0.25">
      <c r="A15" s="2">
        <v>2023</v>
      </c>
      <c r="B15" s="2">
        <v>168</v>
      </c>
      <c r="C15" s="2">
        <v>366</v>
      </c>
      <c r="D15" s="3">
        <f>117/168</f>
        <v>0.6964285714285714</v>
      </c>
      <c r="E15" s="3">
        <f>96/168</f>
        <v>0.5714285714285714</v>
      </c>
      <c r="F15" s="3">
        <f>76/168</f>
        <v>0.45238095238095238</v>
      </c>
    </row>
    <row r="16" spans="1:15" x14ac:dyDescent="0.25">
      <c r="A16" s="2">
        <v>2024</v>
      </c>
      <c r="B16" s="2">
        <v>122</v>
      </c>
      <c r="C16" s="2">
        <v>301</v>
      </c>
      <c r="D16" s="3">
        <f>96/122</f>
        <v>0.78688524590163933</v>
      </c>
      <c r="E16" s="3">
        <f>79/122</f>
        <v>0.64754098360655743</v>
      </c>
    </row>
    <row r="17" spans="1:4" x14ac:dyDescent="0.25">
      <c r="A17" s="2">
        <v>2025</v>
      </c>
      <c r="B17" s="2">
        <v>131</v>
      </c>
      <c r="C17" s="2">
        <v>169</v>
      </c>
      <c r="D17" s="3">
        <f>94/131</f>
        <v>0.71755725190839692</v>
      </c>
    </row>
    <row r="18" spans="1:4" x14ac:dyDescent="0.25">
      <c r="A18" s="2">
        <v>2026</v>
      </c>
      <c r="B18" s="2">
        <v>129</v>
      </c>
      <c r="C18" s="2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161-66E0-4822-898A-45864F098962}">
  <dimension ref="A1:O18"/>
  <sheetViews>
    <sheetView workbookViewId="0"/>
  </sheetViews>
  <sheetFormatPr defaultRowHeight="15" x14ac:dyDescent="0.25"/>
  <cols>
    <col min="1" max="1" width="17.7109375" style="2" customWidth="1"/>
    <col min="2" max="2" width="13.42578125" style="2" customWidth="1"/>
    <col min="3" max="3" width="17.140625" style="2" customWidth="1"/>
    <col min="4" max="5" width="9.7109375" style="3" customWidth="1"/>
    <col min="6" max="6" width="9.5703125" style="3" customWidth="1"/>
    <col min="7" max="7" width="13.7109375" style="3" customWidth="1"/>
    <col min="8" max="8" width="14.85546875" style="3" customWidth="1"/>
    <col min="9" max="9" width="10.140625" style="3" customWidth="1"/>
    <col min="10" max="10" width="12.42578125" style="3" customWidth="1"/>
    <col min="11" max="11" width="13.85546875" style="3" customWidth="1"/>
    <col min="12" max="12" width="10.28515625" style="3" customWidth="1"/>
    <col min="13" max="13" width="12.28515625" style="3" customWidth="1"/>
    <col min="14" max="14" width="15.140625" style="3" customWidth="1"/>
    <col min="15" max="15" width="10.5703125" style="3" customWidth="1"/>
  </cols>
  <sheetData>
    <row r="1" spans="1:15" ht="75.75" customHeight="1" x14ac:dyDescent="0.25">
      <c r="A1" s="2" t="s">
        <v>0</v>
      </c>
      <c r="B1" s="4" t="s">
        <v>13</v>
      </c>
      <c r="C1" s="4" t="s">
        <v>14</v>
      </c>
      <c r="D1" s="6" t="s">
        <v>1</v>
      </c>
      <c r="E1" s="6" t="s">
        <v>2</v>
      </c>
      <c r="F1" s="6" t="s">
        <v>3</v>
      </c>
      <c r="G1" s="6" t="s">
        <v>7</v>
      </c>
      <c r="H1" s="6" t="s">
        <v>8</v>
      </c>
      <c r="I1" s="6" t="s">
        <v>4</v>
      </c>
      <c r="J1" s="6" t="s">
        <v>11</v>
      </c>
      <c r="K1" s="6" t="s">
        <v>12</v>
      </c>
      <c r="L1" s="6" t="s">
        <v>5</v>
      </c>
      <c r="M1" s="6" t="s">
        <v>9</v>
      </c>
      <c r="N1" s="6" t="s">
        <v>10</v>
      </c>
      <c r="O1" s="6" t="s">
        <v>6</v>
      </c>
    </row>
    <row r="2" spans="1:15" x14ac:dyDescent="0.25">
      <c r="A2" s="2">
        <v>2010</v>
      </c>
      <c r="B2" s="2">
        <v>242</v>
      </c>
      <c r="C2" s="2">
        <v>242</v>
      </c>
      <c r="D2" s="3">
        <f>125/242</f>
        <v>0.51652892561983466</v>
      </c>
      <c r="E2" s="3">
        <f>83/242</f>
        <v>0.34297520661157027</v>
      </c>
      <c r="F2" s="3">
        <f>70/242</f>
        <v>0.28925619834710742</v>
      </c>
      <c r="G2" s="3">
        <f>1/242</f>
        <v>4.1322314049586778E-3</v>
      </c>
      <c r="H2" s="3">
        <f>24/242</f>
        <v>9.9173553719008267E-2</v>
      </c>
      <c r="I2" s="3">
        <f>50/242</f>
        <v>0.20661157024793389</v>
      </c>
      <c r="J2" s="3">
        <f>2/242</f>
        <v>8.2644628099173556E-3</v>
      </c>
      <c r="K2" s="3">
        <f>40/242</f>
        <v>0.16528925619834711</v>
      </c>
      <c r="L2" s="3">
        <f>23/242</f>
        <v>9.5041322314049589E-2</v>
      </c>
      <c r="M2" s="3">
        <f>3/242</f>
        <v>1.2396694214876033E-2</v>
      </c>
      <c r="N2" s="3">
        <f>49/242</f>
        <v>0.2024793388429752</v>
      </c>
      <c r="O2" s="3">
        <f>8/242</f>
        <v>3.3057851239669422E-2</v>
      </c>
    </row>
    <row r="3" spans="1:15" x14ac:dyDescent="0.25">
      <c r="A3" s="2">
        <f>A2+1</f>
        <v>2011</v>
      </c>
      <c r="B3" s="2">
        <v>284</v>
      </c>
      <c r="C3" s="2">
        <v>254</v>
      </c>
      <c r="D3" s="3">
        <f>128/284</f>
        <v>0.45070422535211269</v>
      </c>
      <c r="E3" s="3">
        <f>87/284</f>
        <v>0.30633802816901406</v>
      </c>
      <c r="F3" s="3">
        <f>67/284</f>
        <v>0.23591549295774647</v>
      </c>
      <c r="G3" s="3">
        <f>7/254</f>
        <v>2.7559055118110236E-2</v>
      </c>
      <c r="H3" s="3">
        <f>31/254</f>
        <v>0.12204724409448819</v>
      </c>
      <c r="I3" s="3">
        <f>38/284</f>
        <v>0.13380281690140844</v>
      </c>
      <c r="J3" s="3">
        <f>9/254</f>
        <v>3.5433070866141732E-2</v>
      </c>
      <c r="K3" s="3">
        <f>44/254</f>
        <v>0.17322834645669291</v>
      </c>
      <c r="L3" s="3">
        <f>11/284</f>
        <v>3.873239436619718E-2</v>
      </c>
      <c r="M3" s="3">
        <f>11/254</f>
        <v>4.3307086614173228E-2</v>
      </c>
      <c r="N3" s="3">
        <f>48/254</f>
        <v>0.1889763779527559</v>
      </c>
      <c r="O3" s="3">
        <f>6/284</f>
        <v>2.1126760563380281E-2</v>
      </c>
    </row>
    <row r="4" spans="1:15" x14ac:dyDescent="0.25">
      <c r="A4" s="2">
        <f t="shared" ref="A4:A12" si="0">A3+1</f>
        <v>2012</v>
      </c>
      <c r="B4" s="2">
        <v>302</v>
      </c>
      <c r="C4" s="2">
        <v>274</v>
      </c>
      <c r="D4" s="3">
        <f>147/302</f>
        <v>0.48675496688741721</v>
      </c>
      <c r="E4" s="3">
        <f>113/302</f>
        <v>0.3741721854304636</v>
      </c>
      <c r="F4" s="3">
        <f>93/302</f>
        <v>0.30794701986754969</v>
      </c>
      <c r="G4" s="3">
        <f>0/274</f>
        <v>0</v>
      </c>
      <c r="H4" s="3">
        <f>54/274</f>
        <v>0.19708029197080293</v>
      </c>
      <c r="I4" s="3">
        <f>53/302</f>
        <v>0.17549668874172186</v>
      </c>
      <c r="J4" s="3">
        <f>2/274</f>
        <v>7.2992700729927005E-3</v>
      </c>
      <c r="K4" s="3">
        <f>75/274</f>
        <v>0.27372262773722628</v>
      </c>
      <c r="L4" s="3">
        <f>17/302</f>
        <v>5.6291390728476824E-2</v>
      </c>
      <c r="M4" s="3">
        <f>2/274</f>
        <v>7.2992700729927005E-3</v>
      </c>
      <c r="N4" s="3">
        <f>79/274</f>
        <v>0.28832116788321166</v>
      </c>
      <c r="O4" s="3">
        <f>6/302</f>
        <v>1.9867549668874173E-2</v>
      </c>
    </row>
    <row r="5" spans="1:15" x14ac:dyDescent="0.25">
      <c r="A5" s="2">
        <f t="shared" si="0"/>
        <v>2013</v>
      </c>
      <c r="B5" s="2">
        <v>360</v>
      </c>
      <c r="C5" s="2">
        <v>356</v>
      </c>
      <c r="D5" s="3">
        <f>215/360</f>
        <v>0.59722222222222221</v>
      </c>
      <c r="E5" s="3">
        <f>160/360</f>
        <v>0.44444444444444442</v>
      </c>
      <c r="F5" s="3">
        <f>133/360</f>
        <v>0.36944444444444446</v>
      </c>
      <c r="G5" s="3">
        <f>14/356</f>
        <v>3.9325842696629212E-2</v>
      </c>
      <c r="H5" s="3">
        <f>66/356</f>
        <v>0.1853932584269663</v>
      </c>
      <c r="I5" s="3">
        <f>66/360</f>
        <v>0.18333333333333332</v>
      </c>
      <c r="J5" s="3">
        <f>18/356</f>
        <v>5.0561797752808987E-2</v>
      </c>
      <c r="K5" s="3">
        <f>93/356</f>
        <v>0.2612359550561798</v>
      </c>
      <c r="L5" s="3">
        <f>24/360</f>
        <v>6.6666666666666666E-2</v>
      </c>
      <c r="M5" s="3">
        <f>23/356</f>
        <v>6.4606741573033713E-2</v>
      </c>
      <c r="N5" s="3">
        <f>102/356</f>
        <v>0.28651685393258425</v>
      </c>
      <c r="O5" s="3">
        <f>15/360</f>
        <v>4.1666666666666664E-2</v>
      </c>
    </row>
    <row r="6" spans="1:15" x14ac:dyDescent="0.25">
      <c r="A6" s="2">
        <f t="shared" si="0"/>
        <v>2014</v>
      </c>
      <c r="B6" s="2">
        <v>225</v>
      </c>
      <c r="C6" s="2">
        <v>425</v>
      </c>
      <c r="D6" s="3">
        <f>161/225</f>
        <v>0.7155555555555555</v>
      </c>
      <c r="E6" s="3">
        <f>120/225</f>
        <v>0.53333333333333333</v>
      </c>
      <c r="F6" s="3">
        <f>103/225</f>
        <v>0.45777777777777778</v>
      </c>
      <c r="G6" s="3">
        <f>30/425</f>
        <v>7.0588235294117646E-2</v>
      </c>
      <c r="H6" s="3">
        <f>77/425</f>
        <v>0.1811764705882353</v>
      </c>
      <c r="I6" s="3">
        <f>40/225</f>
        <v>0.17777777777777778</v>
      </c>
      <c r="J6" s="3">
        <f>39/425</f>
        <v>9.1764705882352943E-2</v>
      </c>
      <c r="K6" s="3">
        <f>106/425</f>
        <v>0.24941176470588236</v>
      </c>
      <c r="L6" s="3">
        <f>14/225</f>
        <v>6.222222222222222E-2</v>
      </c>
      <c r="M6" s="3">
        <f>40/425</f>
        <v>9.4117647058823528E-2</v>
      </c>
      <c r="N6" s="3">
        <f>116/425</f>
        <v>0.27294117647058824</v>
      </c>
      <c r="O6" s="3">
        <f>4/225</f>
        <v>1.7777777777777778E-2</v>
      </c>
    </row>
    <row r="7" spans="1:15" x14ac:dyDescent="0.25">
      <c r="A7" s="2">
        <f t="shared" si="0"/>
        <v>2015</v>
      </c>
      <c r="B7" s="2">
        <v>201</v>
      </c>
      <c r="C7" s="2">
        <v>394</v>
      </c>
      <c r="D7" s="3">
        <f>140/201</f>
        <v>0.69651741293532343</v>
      </c>
      <c r="E7" s="3">
        <f>116/201</f>
        <v>0.57711442786069655</v>
      </c>
      <c r="F7" s="3">
        <f>94/201</f>
        <v>0.46766169154228854</v>
      </c>
      <c r="G7" s="3">
        <f>24/394</f>
        <v>6.0913705583756347E-2</v>
      </c>
      <c r="H7" s="3">
        <f>79/394</f>
        <v>0.20050761421319796</v>
      </c>
      <c r="I7" s="3">
        <f>36/201</f>
        <v>0.17910447761194029</v>
      </c>
      <c r="J7" s="3">
        <f>32/394</f>
        <v>8.1218274111675121E-2</v>
      </c>
      <c r="K7" s="3">
        <f>100/394</f>
        <v>0.25380710659898476</v>
      </c>
      <c r="L7" s="3">
        <f>17/201</f>
        <v>8.45771144278607E-2</v>
      </c>
      <c r="M7" s="3">
        <f>33/394</f>
        <v>8.3756345177664976E-2</v>
      </c>
      <c r="N7" s="3">
        <f>109/394</f>
        <v>0.2766497461928934</v>
      </c>
      <c r="O7" s="3">
        <f>9/201</f>
        <v>4.4776119402985072E-2</v>
      </c>
    </row>
    <row r="8" spans="1:15" x14ac:dyDescent="0.25">
      <c r="A8" s="2">
        <f t="shared" si="0"/>
        <v>2016</v>
      </c>
      <c r="B8" s="2">
        <v>205</v>
      </c>
      <c r="C8" s="2">
        <v>394</v>
      </c>
      <c r="D8" s="3">
        <f>145/205</f>
        <v>0.70731707317073167</v>
      </c>
      <c r="E8" s="3">
        <f>106/205</f>
        <v>0.51707317073170733</v>
      </c>
      <c r="F8" s="3">
        <f>93/205</f>
        <v>0.45365853658536587</v>
      </c>
      <c r="G8" s="3">
        <f>20/394</f>
        <v>5.0761421319796954E-2</v>
      </c>
      <c r="H8" s="3">
        <f>63/394</f>
        <v>0.15989847715736041</v>
      </c>
      <c r="I8" s="3">
        <f>48/205</f>
        <v>0.23414634146341465</v>
      </c>
      <c r="J8" s="3">
        <f>24/394</f>
        <v>6.0913705583756347E-2</v>
      </c>
      <c r="K8" s="3">
        <f>101/394</f>
        <v>0.25634517766497461</v>
      </c>
      <c r="L8" s="3">
        <f>16/205</f>
        <v>7.8048780487804878E-2</v>
      </c>
      <c r="M8" s="3">
        <f>26/394</f>
        <v>6.5989847715736044E-2</v>
      </c>
      <c r="N8" s="3">
        <f>109/394</f>
        <v>0.2766497461928934</v>
      </c>
      <c r="O8" s="3">
        <f>6/205</f>
        <v>2.9268292682926831E-2</v>
      </c>
    </row>
    <row r="9" spans="1:15" x14ac:dyDescent="0.25">
      <c r="A9" s="2">
        <f t="shared" si="0"/>
        <v>2017</v>
      </c>
      <c r="B9" s="2">
        <v>186</v>
      </c>
      <c r="C9" s="2">
        <v>312</v>
      </c>
      <c r="D9" s="3">
        <f>135/186</f>
        <v>0.72580645161290325</v>
      </c>
      <c r="E9" s="3">
        <f>111/186</f>
        <v>0.59677419354838712</v>
      </c>
      <c r="F9" s="3">
        <f>92/186</f>
        <v>0.4946236559139785</v>
      </c>
      <c r="G9" s="3">
        <f>17/312</f>
        <v>5.4487179487179488E-2</v>
      </c>
      <c r="H9" s="3">
        <f>70/312</f>
        <v>0.22435897435897437</v>
      </c>
      <c r="I9" s="3">
        <f>31/186</f>
        <v>0.16666666666666666</v>
      </c>
      <c r="J9" s="3">
        <f>19/312</f>
        <v>6.0897435897435896E-2</v>
      </c>
      <c r="K9" s="3">
        <f>89/312</f>
        <v>0.28525641025641024</v>
      </c>
      <c r="L9" s="3">
        <f>14/186</f>
        <v>7.5268817204301078E-2</v>
      </c>
      <c r="M9" s="3">
        <f>27/312</f>
        <v>8.6538461538461536E-2</v>
      </c>
      <c r="N9" s="3">
        <f>106/312</f>
        <v>0.33974358974358976</v>
      </c>
      <c r="O9" s="3">
        <f>5/186</f>
        <v>2.6881720430107527E-2</v>
      </c>
    </row>
    <row r="10" spans="1:15" x14ac:dyDescent="0.25">
      <c r="A10" s="2">
        <f t="shared" si="0"/>
        <v>2018</v>
      </c>
      <c r="B10" s="2">
        <v>163</v>
      </c>
      <c r="C10" s="2">
        <v>288</v>
      </c>
      <c r="D10" s="3">
        <f>126/163</f>
        <v>0.77300613496932513</v>
      </c>
      <c r="E10" s="3">
        <f>104/163</f>
        <v>0.6380368098159509</v>
      </c>
      <c r="F10" s="3">
        <f>86/163</f>
        <v>0.52760736196319014</v>
      </c>
      <c r="G10" s="3">
        <f>30/288</f>
        <v>0.10416666666666667</v>
      </c>
      <c r="H10" s="3">
        <f>68/288</f>
        <v>0.2361111111111111</v>
      </c>
      <c r="I10" s="3">
        <f>39/163</f>
        <v>0.2392638036809816</v>
      </c>
      <c r="J10" s="3">
        <f>31/288</f>
        <v>0.1076388888888889</v>
      </c>
      <c r="K10" s="3">
        <f>93/288</f>
        <v>0.32291666666666669</v>
      </c>
      <c r="L10" s="3">
        <f>14/163</f>
        <v>8.5889570552147243E-2</v>
      </c>
      <c r="M10" s="3">
        <f>31/288</f>
        <v>0.1076388888888889</v>
      </c>
      <c r="N10" s="3">
        <f>105/288</f>
        <v>0.36458333333333331</v>
      </c>
      <c r="O10" s="3">
        <f>6/163</f>
        <v>3.6809815950920248E-2</v>
      </c>
    </row>
    <row r="11" spans="1:15" x14ac:dyDescent="0.25">
      <c r="A11" s="2">
        <f t="shared" si="0"/>
        <v>2019</v>
      </c>
      <c r="B11" s="2">
        <v>179</v>
      </c>
      <c r="C11" s="2">
        <v>335</v>
      </c>
      <c r="D11" s="3">
        <f>129/179</f>
        <v>0.72067039106145248</v>
      </c>
      <c r="E11" s="3">
        <f>109/179</f>
        <v>0.60893854748603349</v>
      </c>
      <c r="F11" s="3">
        <f>88/179</f>
        <v>0.49162011173184356</v>
      </c>
      <c r="G11" s="3">
        <f>23/335</f>
        <v>6.8656716417910449E-2</v>
      </c>
      <c r="H11" s="3">
        <f>77/335</f>
        <v>0.2298507462686567</v>
      </c>
      <c r="I11" s="3">
        <f>34/179</f>
        <v>0.18994413407821228</v>
      </c>
      <c r="J11" s="3">
        <f>28/335</f>
        <v>8.3582089552238809E-2</v>
      </c>
      <c r="K11" s="3">
        <f>109/335</f>
        <v>0.32537313432835818</v>
      </c>
      <c r="L11" s="3">
        <f>14/179</f>
        <v>7.8212290502793297E-2</v>
      </c>
      <c r="M11" s="3">
        <f>30/335</f>
        <v>8.9552238805970144E-2</v>
      </c>
      <c r="N11" s="3">
        <f>119/335</f>
        <v>0.35522388059701493</v>
      </c>
      <c r="O11" s="3">
        <f>8/179</f>
        <v>4.4692737430167599E-2</v>
      </c>
    </row>
    <row r="12" spans="1:15" x14ac:dyDescent="0.25">
      <c r="A12" s="2">
        <f t="shared" si="0"/>
        <v>2020</v>
      </c>
      <c r="B12" s="2">
        <v>159</v>
      </c>
      <c r="C12" s="2">
        <v>268</v>
      </c>
      <c r="D12" s="3">
        <f>108/159</f>
        <v>0.67924528301886788</v>
      </c>
      <c r="E12" s="3">
        <f>78/159</f>
        <v>0.49056603773584906</v>
      </c>
      <c r="F12" s="3">
        <f>65/159</f>
        <v>0.4088050314465409</v>
      </c>
      <c r="G12" s="3">
        <f>15/268</f>
        <v>5.5970149253731345E-2</v>
      </c>
      <c r="H12" s="3">
        <f>59/268</f>
        <v>0.22014925373134328</v>
      </c>
      <c r="I12" s="3">
        <f>26/159</f>
        <v>0.16352201257861634</v>
      </c>
      <c r="J12" s="3">
        <f>20/268</f>
        <v>7.4626865671641784E-2</v>
      </c>
      <c r="K12" s="3">
        <f>80/268</f>
        <v>0.29850746268656714</v>
      </c>
      <c r="L12" s="3">
        <f>12/159</f>
        <v>7.5471698113207544E-2</v>
      </c>
      <c r="M12" s="3">
        <f>24/268</f>
        <v>8.9552238805970144E-2</v>
      </c>
      <c r="N12" s="3">
        <f>86/268</f>
        <v>0.32089552238805968</v>
      </c>
      <c r="O12" s="3">
        <v>0</v>
      </c>
    </row>
    <row r="13" spans="1:15" x14ac:dyDescent="0.25">
      <c r="A13" s="2">
        <v>2021</v>
      </c>
      <c r="B13" s="2">
        <v>115</v>
      </c>
      <c r="C13" s="2">
        <v>244</v>
      </c>
      <c r="D13" s="3">
        <f>72/115</f>
        <v>0.62608695652173918</v>
      </c>
      <c r="E13" s="3">
        <f>52/115</f>
        <v>0.45217391304347826</v>
      </c>
      <c r="F13" s="3">
        <f>45/115</f>
        <v>0.39130434782608697</v>
      </c>
      <c r="G13" s="3">
        <f>24/244</f>
        <v>9.8360655737704916E-2</v>
      </c>
      <c r="H13" s="3">
        <f>48/244</f>
        <v>0.19672131147540983</v>
      </c>
      <c r="I13" s="3">
        <f>24/115</f>
        <v>0.20869565217391303</v>
      </c>
      <c r="J13" s="3">
        <f>25/244</f>
        <v>0.10245901639344263</v>
      </c>
      <c r="K13" s="3">
        <f>63/244</f>
        <v>0.25819672131147542</v>
      </c>
      <c r="L13" s="3">
        <f>10/115</f>
        <v>8.6956521739130432E-2</v>
      </c>
    </row>
    <row r="14" spans="1:15" x14ac:dyDescent="0.25">
      <c r="A14" s="2">
        <v>2022</v>
      </c>
      <c r="B14" s="2">
        <v>128</v>
      </c>
      <c r="C14" s="2">
        <v>262</v>
      </c>
      <c r="D14" s="3">
        <f>89/128</f>
        <v>0.6953125</v>
      </c>
      <c r="E14" s="3">
        <f>76/128</f>
        <v>0.59375</v>
      </c>
      <c r="F14" s="3">
        <f>62/128</f>
        <v>0.484375</v>
      </c>
      <c r="G14" s="3">
        <f>26/262</f>
        <v>9.9236641221374045E-2</v>
      </c>
      <c r="H14" s="3">
        <f>52/262</f>
        <v>0.19847328244274809</v>
      </c>
      <c r="I14" s="3">
        <f>21/128</f>
        <v>0.1640625</v>
      </c>
    </row>
    <row r="15" spans="1:15" x14ac:dyDescent="0.25">
      <c r="A15" s="2">
        <v>2023</v>
      </c>
      <c r="B15" s="2">
        <v>120</v>
      </c>
      <c r="C15" s="2">
        <v>251</v>
      </c>
      <c r="D15" s="3">
        <f>87/120</f>
        <v>0.72499999999999998</v>
      </c>
      <c r="E15" s="3">
        <f>72/120</f>
        <v>0.6</v>
      </c>
      <c r="F15" s="3">
        <f>59/120</f>
        <v>0.49166666666666664</v>
      </c>
    </row>
    <row r="16" spans="1:15" x14ac:dyDescent="0.25">
      <c r="A16" s="2">
        <v>2024</v>
      </c>
      <c r="B16" s="2">
        <v>118</v>
      </c>
      <c r="C16" s="2">
        <v>212</v>
      </c>
      <c r="D16" s="3">
        <f>74/118</f>
        <v>0.6271186440677966</v>
      </c>
      <c r="E16" s="3">
        <f>57/118</f>
        <v>0.48305084745762711</v>
      </c>
    </row>
    <row r="17" spans="1:4" x14ac:dyDescent="0.25">
      <c r="A17" s="2">
        <v>2025</v>
      </c>
      <c r="B17" s="2">
        <v>125</v>
      </c>
      <c r="C17" s="2">
        <v>146</v>
      </c>
      <c r="D17" s="3">
        <f>86/125</f>
        <v>0.68799999999999994</v>
      </c>
    </row>
    <row r="18" spans="1:4" x14ac:dyDescent="0.25">
      <c r="A18" s="2">
        <v>2026</v>
      </c>
      <c r="B18" s="2">
        <v>135</v>
      </c>
      <c r="C18" s="2">
        <v>155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69D6-F277-4117-8B8A-93ABD00EBD23}">
  <sheetPr>
    <pageSetUpPr fitToPage="1"/>
  </sheetPr>
  <dimension ref="A1:O18"/>
  <sheetViews>
    <sheetView workbookViewId="0"/>
  </sheetViews>
  <sheetFormatPr defaultRowHeight="15" x14ac:dyDescent="0.25"/>
  <cols>
    <col min="1" max="1" width="17.7109375" style="2" customWidth="1"/>
    <col min="2" max="2" width="13.42578125" style="2" customWidth="1"/>
    <col min="3" max="3" width="16.85546875" style="2" customWidth="1"/>
    <col min="4" max="5" width="9.7109375" style="3" customWidth="1"/>
    <col min="6" max="6" width="9.5703125" style="3" customWidth="1"/>
    <col min="7" max="7" width="13.7109375" style="3" customWidth="1"/>
    <col min="8" max="8" width="14.85546875" style="3" customWidth="1"/>
    <col min="9" max="9" width="10.140625" style="3" customWidth="1"/>
    <col min="10" max="10" width="12.42578125" style="3" customWidth="1"/>
    <col min="11" max="11" width="13.85546875" style="3" customWidth="1"/>
    <col min="12" max="12" width="10.28515625" style="3" customWidth="1"/>
    <col min="13" max="13" width="12.28515625" style="3" customWidth="1"/>
    <col min="14" max="14" width="15.140625" style="3" customWidth="1"/>
    <col min="15" max="15" width="10.5703125" style="3" customWidth="1"/>
  </cols>
  <sheetData>
    <row r="1" spans="1:15" ht="78" customHeight="1" x14ac:dyDescent="0.25">
      <c r="A1" s="2" t="s">
        <v>0</v>
      </c>
      <c r="B1" s="4" t="s">
        <v>13</v>
      </c>
      <c r="C1" s="4" t="s">
        <v>14</v>
      </c>
      <c r="D1" s="6" t="s">
        <v>1</v>
      </c>
      <c r="E1" s="6" t="s">
        <v>2</v>
      </c>
      <c r="F1" s="6" t="s">
        <v>3</v>
      </c>
      <c r="G1" s="6" t="s">
        <v>7</v>
      </c>
      <c r="H1" s="6" t="s">
        <v>8</v>
      </c>
      <c r="I1" s="6" t="s">
        <v>4</v>
      </c>
      <c r="J1" s="6" t="s">
        <v>11</v>
      </c>
      <c r="K1" s="6" t="s">
        <v>12</v>
      </c>
      <c r="L1" s="6" t="s">
        <v>5</v>
      </c>
      <c r="M1" s="6" t="s">
        <v>9</v>
      </c>
      <c r="N1" s="6" t="s">
        <v>10</v>
      </c>
      <c r="O1" s="6" t="s">
        <v>6</v>
      </c>
    </row>
    <row r="2" spans="1:15" x14ac:dyDescent="0.25">
      <c r="A2" s="2">
        <v>2010</v>
      </c>
      <c r="B2" s="2">
        <v>391</v>
      </c>
      <c r="C2" s="2">
        <v>391</v>
      </c>
      <c r="D2" s="3">
        <f>206/391</f>
        <v>0.52685421994884907</v>
      </c>
      <c r="E2" s="3">
        <f>140/391</f>
        <v>0.35805626598465473</v>
      </c>
      <c r="F2" s="3">
        <f>107/391</f>
        <v>0.27365728900255754</v>
      </c>
      <c r="G2" s="3">
        <f>9/391</f>
        <v>2.3017902813299233E-2</v>
      </c>
      <c r="H2" s="3">
        <f>42/391</f>
        <v>0.10741687979539642</v>
      </c>
      <c r="I2" s="3">
        <f>73/391</f>
        <v>0.1867007672634271</v>
      </c>
      <c r="J2" s="3">
        <f>11/391</f>
        <v>2.8132992327365727E-2</v>
      </c>
      <c r="K2" s="3">
        <f>63/391</f>
        <v>0.16112531969309463</v>
      </c>
      <c r="L2" s="3">
        <f>31/391</f>
        <v>7.9283887468030695E-2</v>
      </c>
      <c r="M2" s="3">
        <f>12/391</f>
        <v>3.0690537084398978E-2</v>
      </c>
      <c r="N2" s="3">
        <f>74/391</f>
        <v>0.18925831202046037</v>
      </c>
      <c r="O2" s="3">
        <f>12/391</f>
        <v>3.0690537084398978E-2</v>
      </c>
    </row>
    <row r="3" spans="1:15" x14ac:dyDescent="0.25">
      <c r="A3" s="2">
        <f>A2+1</f>
        <v>2011</v>
      </c>
      <c r="B3" s="2">
        <v>428</v>
      </c>
      <c r="C3" s="2">
        <v>384</v>
      </c>
      <c r="D3" s="3">
        <f>203/428</f>
        <v>0.47429906542056077</v>
      </c>
      <c r="E3" s="3">
        <f>139/428</f>
        <v>0.32476635514018692</v>
      </c>
      <c r="F3" s="3">
        <f>109/428</f>
        <v>0.25467289719626168</v>
      </c>
      <c r="G3" s="3">
        <f>15/384</f>
        <v>3.90625E-2</v>
      </c>
      <c r="H3" s="3">
        <f>61/384</f>
        <v>0.15885416666666666</v>
      </c>
      <c r="I3" s="3">
        <f>56/428</f>
        <v>0.13084112149532709</v>
      </c>
      <c r="J3" s="3">
        <f>16/384</f>
        <v>4.1666666666666664E-2</v>
      </c>
      <c r="K3" s="3">
        <f>80/384</f>
        <v>0.20833333333333334</v>
      </c>
      <c r="L3" s="3">
        <f>21/428</f>
        <v>4.9065420560747662E-2</v>
      </c>
      <c r="M3" s="3">
        <f>19/384</f>
        <v>4.9479166666666664E-2</v>
      </c>
      <c r="N3" s="3">
        <f>85/384</f>
        <v>0.22135416666666666</v>
      </c>
      <c r="O3" s="3">
        <f>11/428</f>
        <v>2.5700934579439252E-2</v>
      </c>
    </row>
    <row r="4" spans="1:15" x14ac:dyDescent="0.25">
      <c r="A4" s="2">
        <f t="shared" ref="A4:A12" si="0">A3+1</f>
        <v>2012</v>
      </c>
      <c r="B4" s="2">
        <v>419</v>
      </c>
      <c r="C4" s="2">
        <v>377</v>
      </c>
      <c r="D4" s="3">
        <f>210/419</f>
        <v>0.50119331742243434</v>
      </c>
      <c r="E4" s="3">
        <f>147/419</f>
        <v>0.35083532219570407</v>
      </c>
      <c r="F4" s="3">
        <f>113/419</f>
        <v>0.26968973747016706</v>
      </c>
      <c r="G4" s="3">
        <f>8/377</f>
        <v>2.1220159151193633E-2</v>
      </c>
      <c r="H4" s="3">
        <f>67/377</f>
        <v>0.17771883289124668</v>
      </c>
      <c r="I4" s="3">
        <f>58/419</f>
        <v>0.13842482100238662</v>
      </c>
      <c r="J4" s="3">
        <f>11/377</f>
        <v>2.9177718832891247E-2</v>
      </c>
      <c r="K4" s="3">
        <f>91/377</f>
        <v>0.2413793103448276</v>
      </c>
      <c r="L4" s="3">
        <f>25/419</f>
        <v>5.9665871121718374E-2</v>
      </c>
      <c r="M4" s="3">
        <f>12/377</f>
        <v>3.1830238726790451E-2</v>
      </c>
      <c r="N4" s="3">
        <f>95/377</f>
        <v>0.25198938992042441</v>
      </c>
      <c r="O4" s="3">
        <f>7/419</f>
        <v>1.6706443914081145E-2</v>
      </c>
    </row>
    <row r="5" spans="1:15" x14ac:dyDescent="0.25">
      <c r="A5" s="2">
        <f t="shared" si="0"/>
        <v>2013</v>
      </c>
      <c r="B5" s="2">
        <v>459</v>
      </c>
      <c r="C5" s="2">
        <v>451</v>
      </c>
      <c r="D5" s="3">
        <f>242/459</f>
        <v>0.52723311546840956</v>
      </c>
      <c r="E5" s="3">
        <f>170/459</f>
        <v>0.37037037037037035</v>
      </c>
      <c r="F5" s="3">
        <f>149/459</f>
        <v>0.32461873638344224</v>
      </c>
      <c r="G5" s="3">
        <f>20/451</f>
        <v>4.4345898004434593E-2</v>
      </c>
      <c r="H5" s="3">
        <f>65/451</f>
        <v>0.14412416851441243</v>
      </c>
      <c r="I5" s="3">
        <f>81/459</f>
        <v>0.17647058823529413</v>
      </c>
      <c r="J5" s="3">
        <f>28/451</f>
        <v>6.2084257206208429E-2</v>
      </c>
      <c r="K5" s="3">
        <f>98/451</f>
        <v>0.21729490022172948</v>
      </c>
      <c r="L5" s="3">
        <f>28/459</f>
        <v>6.1002178649237473E-2</v>
      </c>
      <c r="M5" s="3">
        <f>30/451</f>
        <v>6.6518847006651879E-2</v>
      </c>
      <c r="N5" s="3">
        <f>104/451</f>
        <v>0.23059866962305986</v>
      </c>
      <c r="O5" s="3">
        <f>13/459</f>
        <v>2.8322440087145968E-2</v>
      </c>
    </row>
    <row r="6" spans="1:15" x14ac:dyDescent="0.25">
      <c r="A6" s="2">
        <f t="shared" si="0"/>
        <v>2014</v>
      </c>
      <c r="B6" s="2">
        <v>240</v>
      </c>
      <c r="C6" s="2">
        <v>601</v>
      </c>
      <c r="D6" s="3">
        <f>162/240</f>
        <v>0.67500000000000004</v>
      </c>
      <c r="E6" s="3">
        <f>125/240</f>
        <v>0.52083333333333337</v>
      </c>
      <c r="F6" s="3">
        <f>107/240</f>
        <v>0.44583333333333336</v>
      </c>
      <c r="G6" s="3">
        <f>59/601</f>
        <v>9.8169717138103157E-2</v>
      </c>
      <c r="H6" s="3">
        <f>74/601</f>
        <v>0.12312811980033278</v>
      </c>
      <c r="I6" s="3">
        <f>44/240</f>
        <v>0.18333333333333332</v>
      </c>
      <c r="J6" s="3">
        <f>64/601</f>
        <v>0.1064891846921797</v>
      </c>
      <c r="K6" s="3">
        <f>93/601</f>
        <v>0.15474209650582363</v>
      </c>
      <c r="L6" s="3">
        <f>13/240</f>
        <v>5.4166666666666669E-2</v>
      </c>
      <c r="M6" s="3">
        <f>64/601</f>
        <v>0.1064891846921797</v>
      </c>
      <c r="N6" s="3">
        <f>104/601</f>
        <v>0.17304492512479203</v>
      </c>
      <c r="O6" s="3">
        <f>5/240</f>
        <v>2.0833333333333332E-2</v>
      </c>
    </row>
    <row r="7" spans="1:15" x14ac:dyDescent="0.25">
      <c r="A7" s="2">
        <f t="shared" si="0"/>
        <v>2015</v>
      </c>
      <c r="B7" s="2">
        <v>232</v>
      </c>
      <c r="C7" s="2">
        <v>572</v>
      </c>
      <c r="D7" s="3">
        <f>168/232</f>
        <v>0.72413793103448276</v>
      </c>
      <c r="E7" s="3">
        <f>141/232</f>
        <v>0.60775862068965514</v>
      </c>
      <c r="F7" s="3">
        <f>116/232</f>
        <v>0.5</v>
      </c>
      <c r="G7" s="3">
        <f>42/572</f>
        <v>7.3426573426573424E-2</v>
      </c>
      <c r="H7" s="3">
        <f>89/572</f>
        <v>0.1555944055944056</v>
      </c>
      <c r="I7" s="3">
        <f>47/232</f>
        <v>0.20258620689655171</v>
      </c>
      <c r="J7" s="3">
        <f>50/572</f>
        <v>8.7412587412587409E-2</v>
      </c>
      <c r="K7" s="3">
        <f>115/572</f>
        <v>0.20104895104895104</v>
      </c>
      <c r="L7" s="3">
        <f>26/232</f>
        <v>0.11206896551724138</v>
      </c>
      <c r="M7" s="3">
        <f>51/572</f>
        <v>8.9160839160839167E-2</v>
      </c>
      <c r="N7" s="3">
        <f>121/572</f>
        <v>0.21153846153846154</v>
      </c>
      <c r="O7" s="3">
        <f>11/232</f>
        <v>4.7413793103448273E-2</v>
      </c>
    </row>
    <row r="8" spans="1:15" x14ac:dyDescent="0.25">
      <c r="A8" s="2">
        <f t="shared" si="0"/>
        <v>2016</v>
      </c>
      <c r="B8" s="2">
        <v>201</v>
      </c>
      <c r="C8" s="2">
        <v>491</v>
      </c>
      <c r="D8" s="3">
        <f>150/201</f>
        <v>0.74626865671641796</v>
      </c>
      <c r="E8" s="3">
        <f>117/201</f>
        <v>0.58208955223880599</v>
      </c>
      <c r="F8" s="3">
        <f>95/201</f>
        <v>0.47263681592039802</v>
      </c>
      <c r="G8" s="3">
        <f>41/491</f>
        <v>8.3503054989816694E-2</v>
      </c>
      <c r="H8" s="3">
        <f>93/491</f>
        <v>0.18940936863543789</v>
      </c>
      <c r="I8" s="3">
        <f>43/201</f>
        <v>0.21393034825870647</v>
      </c>
      <c r="J8" s="3">
        <f>48/491</f>
        <v>9.775967413441955E-2</v>
      </c>
      <c r="K8" s="3">
        <f>123/491</f>
        <v>0.25050916496945008</v>
      </c>
      <c r="L8" s="3">
        <f>14/201</f>
        <v>6.965174129353234E-2</v>
      </c>
      <c r="M8" s="3">
        <f>59/491</f>
        <v>0.12016293279022404</v>
      </c>
      <c r="N8" s="3">
        <f>145/491</f>
        <v>0.29531568228105909</v>
      </c>
      <c r="O8" s="3">
        <f>4/201</f>
        <v>1.9900497512437811E-2</v>
      </c>
    </row>
    <row r="9" spans="1:15" x14ac:dyDescent="0.25">
      <c r="A9" s="2">
        <f t="shared" si="0"/>
        <v>2017</v>
      </c>
      <c r="B9" s="2">
        <v>169</v>
      </c>
      <c r="C9" s="2">
        <v>354</v>
      </c>
      <c r="D9" s="3">
        <f>124/169</f>
        <v>0.73372781065088755</v>
      </c>
      <c r="E9" s="3">
        <f>96/169</f>
        <v>0.56804733727810652</v>
      </c>
      <c r="F9" s="3">
        <f>82/169</f>
        <v>0.48520710059171596</v>
      </c>
      <c r="G9" s="3">
        <f>28/354</f>
        <v>7.909604519774012E-2</v>
      </c>
      <c r="H9" s="3">
        <f>82/354</f>
        <v>0.23163841807909605</v>
      </c>
      <c r="I9" s="3">
        <f>22/169</f>
        <v>0.13017751479289941</v>
      </c>
      <c r="J9" s="3">
        <f>29/354</f>
        <v>8.1920903954802254E-2</v>
      </c>
      <c r="K9" s="3">
        <f>95/354</f>
        <v>0.26836158192090398</v>
      </c>
      <c r="L9" s="3">
        <f>15/169</f>
        <v>8.8757396449704137E-2</v>
      </c>
      <c r="M9" s="3">
        <f>32/354</f>
        <v>9.03954802259887E-2</v>
      </c>
      <c r="N9" s="3">
        <f>104/354</f>
        <v>0.29378531073446329</v>
      </c>
      <c r="O9" s="3">
        <f>6/169</f>
        <v>3.5502958579881658E-2</v>
      </c>
    </row>
    <row r="10" spans="1:15" x14ac:dyDescent="0.25">
      <c r="A10" s="2">
        <f t="shared" si="0"/>
        <v>2018</v>
      </c>
      <c r="B10" s="2">
        <v>159</v>
      </c>
      <c r="C10" s="2">
        <v>350</v>
      </c>
      <c r="D10" s="3">
        <f>119/159</f>
        <v>0.74842767295597479</v>
      </c>
      <c r="E10" s="3">
        <f>98/159</f>
        <v>0.61635220125786161</v>
      </c>
      <c r="F10" s="3">
        <f>84/159</f>
        <v>0.52830188679245282</v>
      </c>
      <c r="G10" s="3">
        <f>51/350</f>
        <v>0.14571428571428571</v>
      </c>
      <c r="H10" s="3">
        <f>86/350</f>
        <v>0.24571428571428572</v>
      </c>
      <c r="I10" s="3">
        <f>25/159</f>
        <v>0.15723270440251572</v>
      </c>
      <c r="J10" s="3">
        <f>53/350</f>
        <v>0.15142857142857144</v>
      </c>
      <c r="K10" s="3">
        <f>112/350</f>
        <v>0.32</v>
      </c>
      <c r="L10" s="3">
        <f>22/159</f>
        <v>0.13836477987421383</v>
      </c>
      <c r="M10" s="3">
        <f>53/350</f>
        <v>0.15142857142857144</v>
      </c>
      <c r="N10" s="3">
        <f>125/350</f>
        <v>0.35714285714285715</v>
      </c>
      <c r="O10" s="3">
        <f>13/159</f>
        <v>8.1761006289308172E-2</v>
      </c>
    </row>
    <row r="11" spans="1:15" x14ac:dyDescent="0.25">
      <c r="A11" s="2">
        <f t="shared" si="0"/>
        <v>2019</v>
      </c>
      <c r="B11" s="2">
        <v>175</v>
      </c>
      <c r="C11" s="2">
        <v>453</v>
      </c>
      <c r="D11" s="3">
        <f>121/175</f>
        <v>0.69142857142857139</v>
      </c>
      <c r="E11" s="3">
        <f>96/175</f>
        <v>0.5485714285714286</v>
      </c>
      <c r="F11" s="3">
        <f>73/175</f>
        <v>0.41714285714285715</v>
      </c>
      <c r="G11" s="3">
        <f>41/453</f>
        <v>9.0507726269315678E-2</v>
      </c>
      <c r="H11" s="3">
        <f>80/453</f>
        <v>0.17660044150110377</v>
      </c>
      <c r="I11" s="3">
        <f>65/175</f>
        <v>0.37142857142857144</v>
      </c>
      <c r="J11" s="3">
        <f>43/453</f>
        <v>9.4922737306843266E-2</v>
      </c>
      <c r="K11" s="3">
        <f>121/453</f>
        <v>0.2671081677704194</v>
      </c>
      <c r="L11" s="3">
        <f>32/175</f>
        <v>0.18285714285714286</v>
      </c>
      <c r="M11" s="3">
        <f>45/453</f>
        <v>9.9337748344370855E-2</v>
      </c>
      <c r="N11" s="3">
        <f>133/453</f>
        <v>0.29359823399558499</v>
      </c>
      <c r="O11" s="3">
        <f>16/175</f>
        <v>9.1428571428571428E-2</v>
      </c>
    </row>
    <row r="12" spans="1:15" x14ac:dyDescent="0.25">
      <c r="A12" s="2">
        <f t="shared" si="0"/>
        <v>2020</v>
      </c>
      <c r="B12" s="2">
        <v>197</v>
      </c>
      <c r="C12" s="2">
        <v>393</v>
      </c>
      <c r="D12" s="3">
        <f>135/197</f>
        <v>0.68527918781725883</v>
      </c>
      <c r="E12" s="3">
        <f>103/197</f>
        <v>0.52284263959390864</v>
      </c>
      <c r="F12" s="3">
        <f>78/197</f>
        <v>0.39593908629441626</v>
      </c>
      <c r="G12" s="3">
        <f>54/393</f>
        <v>0.13740458015267176</v>
      </c>
      <c r="H12" s="3">
        <f>88/393</f>
        <v>0.22391857506361323</v>
      </c>
      <c r="I12" s="3">
        <f>27/197</f>
        <v>0.13705583756345177</v>
      </c>
      <c r="J12" s="3">
        <f>58/393</f>
        <v>0.1475826972010178</v>
      </c>
      <c r="K12" s="3">
        <f>113/393</f>
        <v>0.2875318066157761</v>
      </c>
      <c r="L12" s="3">
        <f>13/197</f>
        <v>6.5989847715736044E-2</v>
      </c>
      <c r="M12" s="3">
        <f>62/393</f>
        <v>0.15776081424936386</v>
      </c>
      <c r="N12" s="3">
        <f>122/393</f>
        <v>0.31043256997455471</v>
      </c>
      <c r="O12" s="3">
        <f>3/197</f>
        <v>1.5228426395939087E-2</v>
      </c>
    </row>
    <row r="13" spans="1:15" x14ac:dyDescent="0.25">
      <c r="A13" s="2">
        <v>2021</v>
      </c>
      <c r="B13" s="2">
        <v>132</v>
      </c>
      <c r="C13" s="2">
        <v>324</v>
      </c>
      <c r="D13" s="3">
        <f>81/132</f>
        <v>0.61363636363636365</v>
      </c>
      <c r="E13" s="3">
        <f>61/132</f>
        <v>0.4621212121212121</v>
      </c>
      <c r="F13" s="3">
        <f>52/132</f>
        <v>0.39393939393939392</v>
      </c>
      <c r="G13" s="3">
        <f>44/324</f>
        <v>0.13580246913580246</v>
      </c>
      <c r="H13" s="3">
        <f>61/324</f>
        <v>0.18827160493827161</v>
      </c>
      <c r="I13" s="3">
        <f>23/132</f>
        <v>0.17424242424242425</v>
      </c>
      <c r="J13" s="3">
        <f>48/324</f>
        <v>0.14814814814814814</v>
      </c>
      <c r="K13" s="3">
        <f>84/324</f>
        <v>0.25925925925925924</v>
      </c>
      <c r="L13" s="3">
        <f>10/132</f>
        <v>7.575757575757576E-2</v>
      </c>
    </row>
    <row r="14" spans="1:15" x14ac:dyDescent="0.25">
      <c r="A14" s="2">
        <v>2022</v>
      </c>
      <c r="B14" s="2">
        <v>102</v>
      </c>
      <c r="C14" s="2">
        <v>198</v>
      </c>
      <c r="D14" s="3">
        <f>73/102</f>
        <v>0.71568627450980393</v>
      </c>
      <c r="E14" s="3">
        <f>72/102</f>
        <v>0.70588235294117652</v>
      </c>
      <c r="F14" s="3">
        <f>56/102</f>
        <v>0.5490196078431373</v>
      </c>
      <c r="G14" s="3">
        <f>29/198</f>
        <v>0.14646464646464646</v>
      </c>
      <c r="H14" s="3">
        <f>62/198</f>
        <v>0.31313131313131315</v>
      </c>
      <c r="I14" s="3">
        <f>15/102</f>
        <v>0.14705882352941177</v>
      </c>
    </row>
    <row r="15" spans="1:15" x14ac:dyDescent="0.25">
      <c r="A15" s="2">
        <v>2023</v>
      </c>
      <c r="B15" s="2">
        <v>25</v>
      </c>
      <c r="C15" s="2">
        <v>52</v>
      </c>
      <c r="D15" s="3">
        <f>19/25</f>
        <v>0.76</v>
      </c>
      <c r="E15" s="3">
        <f>15/25</f>
        <v>0.6</v>
      </c>
      <c r="F15" s="3">
        <f>11/25</f>
        <v>0.44</v>
      </c>
    </row>
    <row r="16" spans="1:15" x14ac:dyDescent="0.25">
      <c r="A16" s="2">
        <v>2024</v>
      </c>
      <c r="B16" s="2">
        <v>95</v>
      </c>
      <c r="C16" s="2">
        <v>175</v>
      </c>
      <c r="D16" s="3">
        <f>67/95</f>
        <v>0.70526315789473681</v>
      </c>
      <c r="E16" s="3">
        <f>55/95</f>
        <v>0.57894736842105265</v>
      </c>
    </row>
    <row r="17" spans="1:4" x14ac:dyDescent="0.25">
      <c r="A17" s="2">
        <v>2025</v>
      </c>
      <c r="B17" s="2">
        <v>104</v>
      </c>
      <c r="C17" s="2">
        <v>127</v>
      </c>
      <c r="D17" s="3">
        <f>70/104</f>
        <v>0.67307692307692313</v>
      </c>
    </row>
    <row r="18" spans="1:4" x14ac:dyDescent="0.25">
      <c r="A18" s="2">
        <v>2026</v>
      </c>
      <c r="B18" s="2">
        <v>97</v>
      </c>
      <c r="C18" s="2">
        <v>121</v>
      </c>
    </row>
  </sheetData>
  <pageMargins left="0.7" right="0.7" top="0.75" bottom="0.75" header="0.3" footer="0.3"/>
  <pageSetup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3019-F70C-429D-A2DD-C6AF8D9C1AB2}">
  <dimension ref="A1:O10"/>
  <sheetViews>
    <sheetView workbookViewId="0"/>
  </sheetViews>
  <sheetFormatPr defaultRowHeight="15" x14ac:dyDescent="0.25"/>
  <cols>
    <col min="1" max="1" width="17.7109375" style="2" customWidth="1"/>
    <col min="2" max="2" width="13.42578125" style="2" customWidth="1"/>
    <col min="3" max="3" width="16.85546875" style="2" customWidth="1"/>
    <col min="4" max="5" width="9.7109375" style="10" customWidth="1"/>
    <col min="6" max="6" width="9.5703125" style="10" customWidth="1"/>
    <col min="7" max="7" width="13.7109375" style="10" customWidth="1"/>
    <col min="8" max="8" width="14.85546875" style="10" customWidth="1"/>
    <col min="9" max="9" width="10.140625" style="10" customWidth="1"/>
    <col min="10" max="10" width="12.42578125" style="10" customWidth="1"/>
    <col min="11" max="11" width="13.85546875" style="10" customWidth="1"/>
    <col min="12" max="12" width="10.28515625" style="10" customWidth="1"/>
    <col min="13" max="13" width="12.28515625" style="10" customWidth="1"/>
    <col min="14" max="14" width="15.140625" style="10" customWidth="1"/>
    <col min="15" max="15" width="10.5703125" style="10" customWidth="1"/>
  </cols>
  <sheetData>
    <row r="1" spans="1:15" ht="80.25" customHeight="1" x14ac:dyDescent="0.25">
      <c r="A1" s="2" t="s">
        <v>0</v>
      </c>
      <c r="B1" s="4" t="s">
        <v>13</v>
      </c>
      <c r="C1" s="4" t="s">
        <v>14</v>
      </c>
      <c r="D1" s="12" t="s">
        <v>1</v>
      </c>
      <c r="E1" s="12" t="s">
        <v>2</v>
      </c>
      <c r="F1" s="12" t="s">
        <v>3</v>
      </c>
      <c r="G1" s="12" t="s">
        <v>7</v>
      </c>
      <c r="H1" s="12" t="s">
        <v>8</v>
      </c>
      <c r="I1" s="12" t="s">
        <v>4</v>
      </c>
      <c r="J1" s="12" t="s">
        <v>11</v>
      </c>
      <c r="K1" s="12" t="s">
        <v>12</v>
      </c>
      <c r="L1" s="12" t="s">
        <v>5</v>
      </c>
      <c r="M1" s="12" t="s">
        <v>9</v>
      </c>
      <c r="N1" s="12" t="s">
        <v>10</v>
      </c>
      <c r="O1" s="12" t="s">
        <v>6</v>
      </c>
    </row>
    <row r="2" spans="1:15" x14ac:dyDescent="0.25">
      <c r="A2" s="8">
        <v>2019</v>
      </c>
      <c r="B2" s="8">
        <v>64</v>
      </c>
      <c r="C2" s="8">
        <v>113</v>
      </c>
      <c r="D2" s="10">
        <v>0.828125</v>
      </c>
      <c r="E2" s="10">
        <v>0.71875</v>
      </c>
      <c r="F2" s="10">
        <v>0.609375</v>
      </c>
      <c r="G2" s="10">
        <v>4.4247787610619468E-2</v>
      </c>
      <c r="H2" s="10">
        <v>0.32743362831858408</v>
      </c>
      <c r="I2" s="10">
        <v>0.375</v>
      </c>
      <c r="J2" s="10">
        <v>5.3097345132743362E-2</v>
      </c>
      <c r="K2" s="10">
        <v>0.46017699115044247</v>
      </c>
      <c r="L2" s="10">
        <v>8.1081081081081086E-2</v>
      </c>
      <c r="M2" s="10">
        <f>7/113</f>
        <v>6.1946902654867256E-2</v>
      </c>
      <c r="N2" s="10">
        <f>54/113</f>
        <v>0.47787610619469029</v>
      </c>
      <c r="O2" s="10">
        <f>4/64</f>
        <v>6.25E-2</v>
      </c>
    </row>
    <row r="3" spans="1:15" x14ac:dyDescent="0.25">
      <c r="A3" s="8">
        <v>2020</v>
      </c>
      <c r="B3" s="8">
        <v>46</v>
      </c>
      <c r="C3" s="8">
        <v>91</v>
      </c>
      <c r="D3" s="10">
        <v>0.80434782608695654</v>
      </c>
      <c r="E3" s="10">
        <v>0.5</v>
      </c>
      <c r="F3" s="10">
        <v>0.39130434782608697</v>
      </c>
      <c r="G3" s="10">
        <v>0.18681318681318682</v>
      </c>
      <c r="H3" s="10">
        <v>0.31868131868131866</v>
      </c>
      <c r="I3" s="10">
        <v>0.15217391304347827</v>
      </c>
      <c r="J3" s="10">
        <f>18/91</f>
        <v>0.19780219780219779</v>
      </c>
      <c r="K3" s="10">
        <f>35/91</f>
        <v>0.38461538461538464</v>
      </c>
      <c r="L3" s="10">
        <f>3/46</f>
        <v>6.5217391304347824E-2</v>
      </c>
      <c r="M3" s="10">
        <f>19/91</f>
        <v>0.2087912087912088</v>
      </c>
      <c r="N3" s="10">
        <f>37/91</f>
        <v>0.40659340659340659</v>
      </c>
      <c r="O3" s="10">
        <f>1/46</f>
        <v>2.1739130434782608E-2</v>
      </c>
    </row>
    <row r="4" spans="1:15" x14ac:dyDescent="0.25">
      <c r="A4" s="8">
        <v>2021</v>
      </c>
      <c r="B4" s="8">
        <v>46</v>
      </c>
      <c r="C4" s="8">
        <v>89</v>
      </c>
      <c r="D4" s="10">
        <v>0.80434782608695654</v>
      </c>
      <c r="E4" s="10">
        <v>0.67391304347826086</v>
      </c>
      <c r="F4" s="10">
        <v>0.56521739130434778</v>
      </c>
      <c r="G4" s="10">
        <f>13/89</f>
        <v>0.14606741573033707</v>
      </c>
      <c r="H4" s="10">
        <f>32/89</f>
        <v>0.3595505617977528</v>
      </c>
      <c r="I4" s="10">
        <f>12/46</f>
        <v>0.2608695652173913</v>
      </c>
      <c r="J4" s="10">
        <f>14/89</f>
        <v>0.15730337078651685</v>
      </c>
      <c r="K4" s="10">
        <f>37/89</f>
        <v>0.4157303370786517</v>
      </c>
      <c r="L4" s="10">
        <f>3/46</f>
        <v>6.5217391304347824E-2</v>
      </c>
    </row>
    <row r="5" spans="1:15" x14ac:dyDescent="0.25">
      <c r="A5" s="8">
        <v>2022</v>
      </c>
      <c r="B5" s="8">
        <v>56</v>
      </c>
      <c r="C5" s="8">
        <v>86</v>
      </c>
      <c r="D5" s="10">
        <v>0.7142857142857143</v>
      </c>
      <c r="E5" s="10">
        <v>0.5714285714285714</v>
      </c>
      <c r="F5" s="10">
        <f>28/56</f>
        <v>0.5</v>
      </c>
      <c r="G5" s="10">
        <f>8/86</f>
        <v>9.3023255813953487E-2</v>
      </c>
      <c r="H5" s="10">
        <f>38/86</f>
        <v>0.44186046511627908</v>
      </c>
      <c r="I5" s="10">
        <f>8/56</f>
        <v>0.14285714285714285</v>
      </c>
    </row>
    <row r="6" spans="1:15" s="1" customFormat="1" x14ac:dyDescent="0.25">
      <c r="A6" s="8">
        <v>2023</v>
      </c>
      <c r="B6" s="8">
        <v>29</v>
      </c>
      <c r="C6" s="8">
        <v>66</v>
      </c>
      <c r="D6" s="10">
        <v>0.7931034482758621</v>
      </c>
      <c r="E6" s="10">
        <f>19/29</f>
        <v>0.65517241379310343</v>
      </c>
      <c r="F6" s="10">
        <f>15/29</f>
        <v>0.51724137931034486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1" customFormat="1" x14ac:dyDescent="0.25">
      <c r="A7" s="8">
        <v>2024</v>
      </c>
      <c r="B7" s="8">
        <v>41</v>
      </c>
      <c r="C7" s="8">
        <v>79</v>
      </c>
      <c r="D7" s="10">
        <f>29/41</f>
        <v>0.70731707317073167</v>
      </c>
      <c r="E7" s="10">
        <f>25/41</f>
        <v>0.6097560975609756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9" customFormat="1" x14ac:dyDescent="0.25">
      <c r="A8" s="11">
        <v>2025</v>
      </c>
      <c r="B8" s="11">
        <v>52</v>
      </c>
      <c r="C8" s="11">
        <v>58</v>
      </c>
      <c r="D8" s="10">
        <f>38/52</f>
        <v>0.73076923076923073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s="9" customFormat="1" x14ac:dyDescent="0.25">
      <c r="A9" s="11">
        <v>2026</v>
      </c>
      <c r="B9" s="11">
        <v>51</v>
      </c>
      <c r="C9" s="11">
        <v>62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25">
      <c r="A10" s="7"/>
      <c r="B10" s="8" t="s">
        <v>16</v>
      </c>
      <c r="C10" s="7"/>
      <c r="D10" s="13"/>
      <c r="E10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9446-47CA-4BF3-97E0-FC5AC4CA4A4B}">
  <dimension ref="A1:O18"/>
  <sheetViews>
    <sheetView workbookViewId="0"/>
  </sheetViews>
  <sheetFormatPr defaultRowHeight="15" x14ac:dyDescent="0.25"/>
  <cols>
    <col min="1" max="1" width="17.7109375" style="2" customWidth="1"/>
    <col min="2" max="2" width="13.42578125" style="2" customWidth="1"/>
    <col min="3" max="3" width="17.42578125" style="2" customWidth="1"/>
    <col min="4" max="5" width="9.7109375" style="3" customWidth="1"/>
    <col min="6" max="6" width="9.5703125" style="3" customWidth="1"/>
    <col min="7" max="7" width="13.7109375" style="3" customWidth="1"/>
    <col min="8" max="8" width="14.85546875" style="3" customWidth="1"/>
    <col min="9" max="9" width="10.140625" style="3" customWidth="1"/>
    <col min="10" max="10" width="12.42578125" style="3" customWidth="1"/>
    <col min="11" max="11" width="13.85546875" style="3" customWidth="1"/>
    <col min="12" max="12" width="10.28515625" style="3" customWidth="1"/>
    <col min="13" max="13" width="12.28515625" style="3" customWidth="1"/>
    <col min="14" max="14" width="15.140625" style="3" customWidth="1"/>
    <col min="15" max="15" width="10.5703125" style="3" customWidth="1"/>
  </cols>
  <sheetData>
    <row r="1" spans="1:15" ht="79.5" customHeight="1" x14ac:dyDescent="0.25">
      <c r="A1" s="2" t="s">
        <v>0</v>
      </c>
      <c r="B1" s="4" t="s">
        <v>13</v>
      </c>
      <c r="C1" s="4" t="s">
        <v>14</v>
      </c>
      <c r="D1" s="6" t="s">
        <v>1</v>
      </c>
      <c r="E1" s="6" t="s">
        <v>2</v>
      </c>
      <c r="F1" s="6" t="s">
        <v>3</v>
      </c>
      <c r="G1" s="6" t="s">
        <v>7</v>
      </c>
      <c r="H1" s="6" t="s">
        <v>8</v>
      </c>
      <c r="I1" s="6" t="s">
        <v>4</v>
      </c>
      <c r="J1" s="6" t="s">
        <v>11</v>
      </c>
      <c r="K1" s="6" t="s">
        <v>12</v>
      </c>
      <c r="L1" s="6" t="s">
        <v>5</v>
      </c>
      <c r="M1" s="6" t="s">
        <v>9</v>
      </c>
      <c r="N1" s="6" t="s">
        <v>10</v>
      </c>
      <c r="O1" s="6" t="s">
        <v>6</v>
      </c>
    </row>
    <row r="2" spans="1:15" x14ac:dyDescent="0.25">
      <c r="A2" s="2">
        <v>2010</v>
      </c>
      <c r="B2" s="2">
        <v>219</v>
      </c>
      <c r="C2" s="2">
        <v>219</v>
      </c>
      <c r="D2" s="5">
        <f>125/219</f>
        <v>0.57077625570776258</v>
      </c>
      <c r="E2" s="5">
        <f>84/219</f>
        <v>0.38356164383561642</v>
      </c>
      <c r="F2" s="5">
        <f>69/219</f>
        <v>0.31506849315068491</v>
      </c>
      <c r="G2" s="5">
        <f>4/219</f>
        <v>1.8264840182648401E-2</v>
      </c>
      <c r="H2" s="5">
        <f>23/219</f>
        <v>0.1050228310502283</v>
      </c>
      <c r="I2" s="5">
        <f>43/219</f>
        <v>0.19634703196347031</v>
      </c>
      <c r="J2" s="5">
        <f>5/219</f>
        <v>2.2831050228310501E-2</v>
      </c>
      <c r="K2" s="5">
        <f>38/219</f>
        <v>0.17351598173515981</v>
      </c>
      <c r="L2" s="5">
        <f>17/219</f>
        <v>7.7625570776255703E-2</v>
      </c>
      <c r="M2" s="5">
        <f>5/219</f>
        <v>2.2831050228310501E-2</v>
      </c>
      <c r="N2" s="5">
        <f>46/219</f>
        <v>0.21004566210045661</v>
      </c>
      <c r="O2" s="5">
        <f>5/219</f>
        <v>2.2831050228310501E-2</v>
      </c>
    </row>
    <row r="3" spans="1:15" x14ac:dyDescent="0.25">
      <c r="A3" s="2">
        <f>A2+1</f>
        <v>2011</v>
      </c>
      <c r="B3" s="2">
        <v>251</v>
      </c>
      <c r="C3" s="2">
        <v>250</v>
      </c>
      <c r="D3" s="5">
        <f>134/251</f>
        <v>0.53386454183266929</v>
      </c>
      <c r="E3" s="5">
        <f>86/251</f>
        <v>0.34262948207171312</v>
      </c>
      <c r="F3" s="5">
        <f>78/251</f>
        <v>0.31075697211155379</v>
      </c>
      <c r="G3" s="5">
        <f>5/250</f>
        <v>0.02</v>
      </c>
      <c r="H3" s="5">
        <f>47/250</f>
        <v>0.188</v>
      </c>
      <c r="I3" s="5">
        <f>35/251</f>
        <v>0.1394422310756972</v>
      </c>
      <c r="J3" s="5">
        <f>6/250</f>
        <v>2.4E-2</v>
      </c>
      <c r="K3" s="5">
        <f>59/250</f>
        <v>0.23599999999999999</v>
      </c>
      <c r="L3" s="5">
        <f>11/251</f>
        <v>4.3824701195219126E-2</v>
      </c>
      <c r="M3" s="5">
        <f>6/250</f>
        <v>2.4E-2</v>
      </c>
      <c r="N3" s="5">
        <f>62/250</f>
        <v>0.248</v>
      </c>
      <c r="O3" s="5">
        <f>3/251</f>
        <v>1.1952191235059761E-2</v>
      </c>
    </row>
    <row r="4" spans="1:15" x14ac:dyDescent="0.25">
      <c r="A4" s="2">
        <f t="shared" ref="A4:A12" si="0">A3+1</f>
        <v>2012</v>
      </c>
      <c r="B4" s="2">
        <v>287</v>
      </c>
      <c r="C4" s="2">
        <v>285</v>
      </c>
      <c r="D4" s="5">
        <f>161/287</f>
        <v>0.56097560975609762</v>
      </c>
      <c r="E4" s="5">
        <f>118/287</f>
        <v>0.41114982578397213</v>
      </c>
      <c r="F4" s="5">
        <f>98/287</f>
        <v>0.34146341463414637</v>
      </c>
      <c r="G4" s="5">
        <f>6/285</f>
        <v>2.1052631578947368E-2</v>
      </c>
      <c r="H4" s="5">
        <f>60/285</f>
        <v>0.21052631578947367</v>
      </c>
      <c r="I4" s="5">
        <f>45/287</f>
        <v>0.156794425087108</v>
      </c>
      <c r="J4" s="5">
        <f>8/285</f>
        <v>2.8070175438596492E-2</v>
      </c>
      <c r="K4" s="5">
        <f>81/285</f>
        <v>0.28421052631578947</v>
      </c>
      <c r="L4" s="5">
        <f>13/287</f>
        <v>4.5296167247386762E-2</v>
      </c>
      <c r="M4" s="5">
        <f>9/285</f>
        <v>3.1578947368421054E-2</v>
      </c>
      <c r="N4" s="5">
        <f>82/285</f>
        <v>0.28771929824561404</v>
      </c>
      <c r="O4" s="5">
        <f>3/287</f>
        <v>1.0452961672473868E-2</v>
      </c>
    </row>
    <row r="5" spans="1:15" x14ac:dyDescent="0.25">
      <c r="A5" s="2">
        <f t="shared" si="0"/>
        <v>2013</v>
      </c>
      <c r="B5" s="2">
        <v>366</v>
      </c>
      <c r="C5" s="2">
        <v>364</v>
      </c>
      <c r="D5" s="5">
        <f>212/366</f>
        <v>0.57923497267759561</v>
      </c>
      <c r="E5" s="5">
        <f>163/366</f>
        <v>0.4453551912568306</v>
      </c>
      <c r="F5" s="5">
        <f>143/366</f>
        <v>0.39071038251366119</v>
      </c>
      <c r="G5" s="5">
        <f>7/364</f>
        <v>1.9230769230769232E-2</v>
      </c>
      <c r="H5" s="5">
        <f>83/364</f>
        <v>0.22802197802197802</v>
      </c>
      <c r="I5" s="5">
        <f>68/366</f>
        <v>0.18579234972677597</v>
      </c>
      <c r="J5" s="5">
        <f>13/364</f>
        <v>3.5714285714285712E-2</v>
      </c>
      <c r="K5" s="5">
        <f>112/364</f>
        <v>0.30769230769230771</v>
      </c>
      <c r="L5" s="5">
        <f>27/366</f>
        <v>7.3770491803278687E-2</v>
      </c>
      <c r="M5" s="5">
        <f>17/364</f>
        <v>4.6703296703296704E-2</v>
      </c>
      <c r="N5" s="5">
        <f>124/364</f>
        <v>0.34065934065934067</v>
      </c>
      <c r="O5" s="5">
        <f>11/366</f>
        <v>3.0054644808743168E-2</v>
      </c>
    </row>
    <row r="6" spans="1:15" x14ac:dyDescent="0.25">
      <c r="A6" s="2">
        <f t="shared" si="0"/>
        <v>2014</v>
      </c>
      <c r="B6" s="2">
        <v>206</v>
      </c>
      <c r="C6" s="2">
        <v>412</v>
      </c>
      <c r="D6" s="5">
        <f>143/206</f>
        <v>0.69417475728155342</v>
      </c>
      <c r="E6" s="5">
        <f>110/206</f>
        <v>0.53398058252427183</v>
      </c>
      <c r="F6" s="5">
        <f>92/206</f>
        <v>0.44660194174757284</v>
      </c>
      <c r="G6" s="5">
        <f>33/412</f>
        <v>8.0097087378640783E-2</v>
      </c>
      <c r="H6" s="5">
        <f>81/412</f>
        <v>0.19660194174757281</v>
      </c>
      <c r="I6" s="5">
        <f>38/206</f>
        <v>0.18446601941747573</v>
      </c>
      <c r="J6" s="5">
        <f>36/412</f>
        <v>8.7378640776699032E-2</v>
      </c>
      <c r="K6" s="5">
        <f>105/412</f>
        <v>0.25485436893203883</v>
      </c>
      <c r="L6" s="5">
        <f>16/206</f>
        <v>7.7669902912621352E-2</v>
      </c>
      <c r="M6" s="5">
        <f>36/412</f>
        <v>8.7378640776699032E-2</v>
      </c>
      <c r="N6" s="5">
        <f>116/412</f>
        <v>0.28155339805825241</v>
      </c>
      <c r="O6" s="5">
        <f>4/206</f>
        <v>1.9417475728155338E-2</v>
      </c>
    </row>
    <row r="7" spans="1:15" x14ac:dyDescent="0.25">
      <c r="A7" s="2">
        <f t="shared" si="0"/>
        <v>2015</v>
      </c>
      <c r="B7" s="2">
        <v>183</v>
      </c>
      <c r="C7" s="2">
        <v>371</v>
      </c>
      <c r="D7" s="5">
        <f>138/183</f>
        <v>0.75409836065573765</v>
      </c>
      <c r="E7" s="5">
        <f>121/183</f>
        <v>0.66120218579234968</v>
      </c>
      <c r="F7" s="5">
        <f>95/183</f>
        <v>0.51912568306010931</v>
      </c>
      <c r="G7" s="5">
        <f>30/371</f>
        <v>8.0862533692722366E-2</v>
      </c>
      <c r="H7" s="5">
        <f>87/371</f>
        <v>0.23450134770889489</v>
      </c>
      <c r="I7" s="5">
        <f>37/183</f>
        <v>0.20218579234972678</v>
      </c>
      <c r="J7" s="5">
        <f>37/371</f>
        <v>9.9730458221024262E-2</v>
      </c>
      <c r="K7" s="5">
        <f>118/371</f>
        <v>0.31805929919137466</v>
      </c>
      <c r="L7" s="5">
        <f>15/183</f>
        <v>8.1967213114754092E-2</v>
      </c>
      <c r="M7" s="5">
        <f>37/371</f>
        <v>9.9730458221024262E-2</v>
      </c>
      <c r="N7" s="5">
        <f>121/371</f>
        <v>0.32614555256064692</v>
      </c>
      <c r="O7" s="5">
        <f>3/183</f>
        <v>1.6393442622950821E-2</v>
      </c>
    </row>
    <row r="8" spans="1:15" x14ac:dyDescent="0.25">
      <c r="A8" s="2">
        <f t="shared" si="0"/>
        <v>2016</v>
      </c>
      <c r="B8" s="2">
        <v>197</v>
      </c>
      <c r="C8" s="2">
        <v>390</v>
      </c>
      <c r="D8" s="5">
        <f>143/197</f>
        <v>0.7258883248730964</v>
      </c>
      <c r="E8" s="5">
        <f>103/197</f>
        <v>0.52284263959390864</v>
      </c>
      <c r="F8" s="5">
        <f>90/197</f>
        <v>0.45685279187817257</v>
      </c>
      <c r="G8" s="5">
        <f>27/390</f>
        <v>6.9230769230769235E-2</v>
      </c>
      <c r="H8" s="5">
        <f>81/390</f>
        <v>0.2076923076923077</v>
      </c>
      <c r="I8" s="5">
        <f>44/197</f>
        <v>0.2233502538071066</v>
      </c>
      <c r="J8" s="5">
        <f>29/390</f>
        <v>7.4358974358974358E-2</v>
      </c>
      <c r="K8" s="5">
        <f>117/390</f>
        <v>0.3</v>
      </c>
      <c r="L8" s="5">
        <f>17/197</f>
        <v>8.6294416243654817E-2</v>
      </c>
      <c r="M8" s="5">
        <f>31/390</f>
        <v>7.9487179487179482E-2</v>
      </c>
      <c r="N8" s="5">
        <f>123/390</f>
        <v>0.31538461538461537</v>
      </c>
      <c r="O8" s="5">
        <f>4/197</f>
        <v>2.030456852791878E-2</v>
      </c>
    </row>
    <row r="9" spans="1:15" x14ac:dyDescent="0.25">
      <c r="A9" s="2">
        <f t="shared" si="0"/>
        <v>2017</v>
      </c>
      <c r="B9" s="2">
        <v>158</v>
      </c>
      <c r="C9" s="2">
        <v>276</v>
      </c>
      <c r="D9" s="5">
        <f>117/158</f>
        <v>0.740506329113924</v>
      </c>
      <c r="E9" s="5">
        <f>92/158</f>
        <v>0.58227848101265822</v>
      </c>
      <c r="F9" s="5">
        <f>75/158</f>
        <v>0.47468354430379744</v>
      </c>
      <c r="G9" s="5">
        <f>30/276</f>
        <v>0.10869565217391304</v>
      </c>
      <c r="H9" s="5">
        <f>72/276</f>
        <v>0.2608695652173913</v>
      </c>
      <c r="I9" s="5">
        <f>25/158</f>
        <v>0.15822784810126583</v>
      </c>
      <c r="J9" s="5">
        <f>30/276</f>
        <v>0.10869565217391304</v>
      </c>
      <c r="K9" s="5">
        <f>87/276</f>
        <v>0.31521739130434784</v>
      </c>
      <c r="L9" s="5">
        <f>15/158</f>
        <v>9.49367088607595E-2</v>
      </c>
      <c r="M9" s="5">
        <f>33/276</f>
        <v>0.11956521739130435</v>
      </c>
      <c r="N9" s="5">
        <f>91/276</f>
        <v>0.32971014492753625</v>
      </c>
      <c r="O9" s="5">
        <f>2/158</f>
        <v>1.2658227848101266E-2</v>
      </c>
    </row>
    <row r="10" spans="1:15" x14ac:dyDescent="0.25">
      <c r="A10" s="2">
        <f t="shared" si="0"/>
        <v>2018</v>
      </c>
      <c r="B10" s="2">
        <v>142</v>
      </c>
      <c r="C10" s="2">
        <v>253</v>
      </c>
      <c r="D10" s="5">
        <f>107/142</f>
        <v>0.75352112676056338</v>
      </c>
      <c r="E10" s="5">
        <f>88/142</f>
        <v>0.61971830985915488</v>
      </c>
      <c r="F10" s="5">
        <f>74/142</f>
        <v>0.52112676056338025</v>
      </c>
      <c r="G10" s="5">
        <f>33/253</f>
        <v>0.13043478260869565</v>
      </c>
      <c r="H10" s="5">
        <f>69/253</f>
        <v>0.27272727272727271</v>
      </c>
      <c r="I10" s="5">
        <f>25/142</f>
        <v>0.176056338028169</v>
      </c>
      <c r="J10" s="5">
        <f>35/253</f>
        <v>0.13833992094861661</v>
      </c>
      <c r="K10" s="5">
        <f>90/253</f>
        <v>0.35573122529644269</v>
      </c>
      <c r="L10" s="5">
        <f>13/142</f>
        <v>9.154929577464789E-2</v>
      </c>
      <c r="M10" s="5">
        <f>35/253</f>
        <v>0.13833992094861661</v>
      </c>
      <c r="N10" s="5">
        <f>99/253</f>
        <v>0.39130434782608697</v>
      </c>
      <c r="O10" s="5">
        <f>6/142</f>
        <v>4.2253521126760563E-2</v>
      </c>
    </row>
    <row r="11" spans="1:15" x14ac:dyDescent="0.25">
      <c r="A11" s="2">
        <f t="shared" si="0"/>
        <v>2019</v>
      </c>
      <c r="B11" s="2">
        <v>165</v>
      </c>
      <c r="C11" s="2">
        <v>294</v>
      </c>
      <c r="D11" s="5">
        <f>130/165</f>
        <v>0.78787878787878785</v>
      </c>
      <c r="E11" s="5">
        <f>107/165</f>
        <v>0.64848484848484844</v>
      </c>
      <c r="F11" s="5">
        <f>88/165</f>
        <v>0.53333333333333333</v>
      </c>
      <c r="G11" s="3">
        <f>18/294</f>
        <v>6.1224489795918366E-2</v>
      </c>
      <c r="H11" s="3">
        <f>80/294</f>
        <v>0.27210884353741499</v>
      </c>
      <c r="I11" s="5">
        <f>44/165</f>
        <v>0.26666666666666666</v>
      </c>
      <c r="J11" s="5">
        <f>18/294</f>
        <v>6.1224489795918366E-2</v>
      </c>
      <c r="K11" s="5">
        <f>111/294</f>
        <v>0.37755102040816324</v>
      </c>
      <c r="L11" s="5">
        <f>17/165</f>
        <v>0.10303030303030303</v>
      </c>
      <c r="M11" s="5">
        <f>19/294</f>
        <v>6.4625850340136057E-2</v>
      </c>
      <c r="N11" s="5">
        <f>115/294</f>
        <v>0.391156462585034</v>
      </c>
      <c r="O11" s="5">
        <f>7/165</f>
        <v>4.2424242424242427E-2</v>
      </c>
    </row>
    <row r="12" spans="1:15" x14ac:dyDescent="0.25">
      <c r="A12" s="2">
        <f t="shared" si="0"/>
        <v>2020</v>
      </c>
      <c r="B12" s="2">
        <v>122</v>
      </c>
      <c r="C12" s="2">
        <v>198</v>
      </c>
      <c r="D12" s="5">
        <f>81/122</f>
        <v>0.66393442622950816</v>
      </c>
      <c r="E12" s="5">
        <f>59/122</f>
        <v>0.48360655737704916</v>
      </c>
      <c r="F12" s="5">
        <f>53/122</f>
        <v>0.4344262295081967</v>
      </c>
      <c r="G12" s="5">
        <f>24/198</f>
        <v>0.12121212121212122</v>
      </c>
      <c r="H12" s="5">
        <f>52/198</f>
        <v>0.26262626262626265</v>
      </c>
      <c r="I12" s="5">
        <f>22/122</f>
        <v>0.18032786885245902</v>
      </c>
      <c r="J12" s="5">
        <f>28/198</f>
        <v>0.14141414141414141</v>
      </c>
      <c r="K12" s="5">
        <f>63/198</f>
        <v>0.31818181818181818</v>
      </c>
      <c r="L12" s="5">
        <f>14/122</f>
        <v>0.11475409836065574</v>
      </c>
      <c r="M12" s="5">
        <f>28/198</f>
        <v>0.14141414141414141</v>
      </c>
      <c r="N12" s="5">
        <f>71/198</f>
        <v>0.35858585858585856</v>
      </c>
      <c r="O12" s="5">
        <f>1/122</f>
        <v>8.1967213114754103E-3</v>
      </c>
    </row>
    <row r="13" spans="1:15" x14ac:dyDescent="0.25">
      <c r="A13" s="2">
        <v>2021</v>
      </c>
      <c r="B13" s="2">
        <v>100</v>
      </c>
      <c r="C13" s="2">
        <v>196</v>
      </c>
      <c r="D13" s="5">
        <f>65/100</f>
        <v>0.65</v>
      </c>
      <c r="E13" s="5">
        <f>48/100</f>
        <v>0.48</v>
      </c>
      <c r="F13" s="5">
        <f>42/100</f>
        <v>0.42</v>
      </c>
      <c r="G13" s="5">
        <f>21/196</f>
        <v>0.10714285714285714</v>
      </c>
      <c r="H13" s="5">
        <f>46/196</f>
        <v>0.23469387755102042</v>
      </c>
      <c r="I13" s="5">
        <f>20/100</f>
        <v>0.2</v>
      </c>
      <c r="J13" s="5">
        <f>21/196</f>
        <v>0.10714285714285714</v>
      </c>
      <c r="K13" s="5">
        <f>59/196</f>
        <v>0.30102040816326531</v>
      </c>
      <c r="L13" s="5">
        <f>9/100</f>
        <v>0.09</v>
      </c>
      <c r="M13" s="5"/>
      <c r="N13" s="5"/>
      <c r="O13" s="5"/>
    </row>
    <row r="14" spans="1:15" x14ac:dyDescent="0.25">
      <c r="A14" s="2">
        <v>2022</v>
      </c>
      <c r="B14" s="2">
        <v>128</v>
      </c>
      <c r="C14" s="2">
        <v>246</v>
      </c>
      <c r="D14" s="3">
        <f>85/128</f>
        <v>0.6640625</v>
      </c>
      <c r="E14" s="3">
        <f>69/128</f>
        <v>0.5390625</v>
      </c>
      <c r="F14" s="3">
        <f>60/128</f>
        <v>0.46875</v>
      </c>
      <c r="G14" s="3">
        <f>24/246</f>
        <v>9.7560975609756101E-2</v>
      </c>
      <c r="H14" s="3">
        <f>64/246</f>
        <v>0.26016260162601629</v>
      </c>
      <c r="I14" s="3">
        <f>18/128</f>
        <v>0.140625</v>
      </c>
    </row>
    <row r="15" spans="1:15" x14ac:dyDescent="0.25">
      <c r="A15" s="2">
        <v>2023</v>
      </c>
      <c r="B15" s="2">
        <v>119</v>
      </c>
      <c r="C15" s="2">
        <v>237</v>
      </c>
      <c r="D15" s="3">
        <f>79/119</f>
        <v>0.66386554621848737</v>
      </c>
      <c r="E15" s="3">
        <f>65/119</f>
        <v>0.54621848739495793</v>
      </c>
      <c r="F15" s="3">
        <f>52/119</f>
        <v>0.43697478991596639</v>
      </c>
    </row>
    <row r="16" spans="1:15" x14ac:dyDescent="0.25">
      <c r="A16" s="2">
        <v>2024</v>
      </c>
      <c r="B16" s="2">
        <v>91</v>
      </c>
      <c r="C16" s="2">
        <v>173</v>
      </c>
      <c r="D16" s="3">
        <f>58/91</f>
        <v>0.63736263736263732</v>
      </c>
      <c r="E16" s="3">
        <f>42/91</f>
        <v>0.46153846153846156</v>
      </c>
    </row>
    <row r="17" spans="1:4" x14ac:dyDescent="0.25">
      <c r="A17" s="2">
        <v>2025</v>
      </c>
      <c r="B17" s="2">
        <v>122</v>
      </c>
      <c r="C17" s="2">
        <v>141</v>
      </c>
      <c r="D17" s="3">
        <f>82/122</f>
        <v>0.67213114754098358</v>
      </c>
    </row>
    <row r="18" spans="1:4" x14ac:dyDescent="0.25">
      <c r="A18" s="2">
        <v>2026</v>
      </c>
      <c r="B18" s="2">
        <v>108</v>
      </c>
      <c r="C18" s="2">
        <v>133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Undergraduate Students</vt:lpstr>
      <vt:lpstr>Female Undergraduate Students</vt:lpstr>
      <vt:lpstr>Male Undegraduate Students</vt:lpstr>
      <vt:lpstr>1st Generation Undergraduates</vt:lpstr>
      <vt:lpstr>Undegraduate Athletes</vt:lpstr>
      <vt:lpstr>Housing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Matthew Crawford</cp:lastModifiedBy>
  <cp:lastPrinted>2022-01-03T23:34:45Z</cp:lastPrinted>
  <dcterms:created xsi:type="dcterms:W3CDTF">2022-01-03T15:54:44Z</dcterms:created>
  <dcterms:modified xsi:type="dcterms:W3CDTF">2026-09-17T20:00:47Z</dcterms:modified>
</cp:coreProperties>
</file>